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huongthanh\Dropbox\TINH KHANH HOA\TINH LANG SON\08.DIEU CHINH CUC BO QHPK PHIA DONG\02.HO SO CUC BO\"/>
    </mc:Choice>
  </mc:AlternateContent>
  <bookViews>
    <workbookView xWindow="-105" yWindow="-105" windowWidth="23250" windowHeight="12570" firstSheet="2" activeTab="3"/>
  </bookViews>
  <sheets>
    <sheet name="TONG HOP" sheetId="2" state="hidden" r:id="rId1"/>
    <sheet name="CHỈ TIÊU" sheetId="7" r:id="rId2"/>
    <sheet name="TỔNG HỢP" sheetId="9" r:id="rId3"/>
    <sheet name="CHI TIẾT" sheetId="4" r:id="rId4"/>
    <sheet name="QHCT" sheetId="8" r:id="rId5"/>
    <sheet name="Sheet1" sheetId="6" r:id="rId6"/>
    <sheet name="Sheet2" sheetId="10" r:id="rId7"/>
    <sheet name="SS Sau ĐC" sheetId="11" r:id="rId8"/>
    <sheet name="QHPK phê duyệt" sheetId="12" r:id="rId9"/>
    <sheet name="Tong hop QHPK đc phê duyệt" sheetId="13" r:id="rId10"/>
  </sheets>
  <externalReferences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1" l="1"/>
  <c r="F133" i="11"/>
  <c r="E32" i="9"/>
  <c r="E125" i="11"/>
  <c r="E128" i="11"/>
  <c r="E127" i="11"/>
  <c r="E34" i="9"/>
  <c r="E129" i="11"/>
  <c r="E132" i="11"/>
  <c r="E131" i="11"/>
  <c r="E130" i="11"/>
  <c r="E124" i="11"/>
  <c r="E118" i="11"/>
  <c r="E117" i="11"/>
  <c r="E114" i="11"/>
  <c r="E113" i="11"/>
  <c r="E112" i="11"/>
  <c r="E109" i="11"/>
  <c r="E103" i="11"/>
  <c r="E102" i="11"/>
  <c r="E101" i="11"/>
  <c r="M73" i="4"/>
  <c r="E96" i="11"/>
  <c r="F39" i="13"/>
  <c r="G39" i="13" s="1"/>
  <c r="E39" i="13"/>
  <c r="F38" i="13"/>
  <c r="G38" i="13" s="1"/>
  <c r="E38" i="13"/>
  <c r="P37" i="13"/>
  <c r="F37" i="13"/>
  <c r="G37" i="13" s="1"/>
  <c r="D37" i="13"/>
  <c r="E37" i="13" s="1"/>
  <c r="D36" i="13"/>
  <c r="E36" i="13" s="1"/>
  <c r="F35" i="13"/>
  <c r="G35" i="13" s="1"/>
  <c r="E35" i="13"/>
  <c r="P34" i="13"/>
  <c r="F34" i="13"/>
  <c r="D127" i="11" s="1"/>
  <c r="F127" i="11" s="1"/>
  <c r="E34" i="13"/>
  <c r="F33" i="13"/>
  <c r="D126" i="11" s="1"/>
  <c r="E126" i="11" s="1"/>
  <c r="F126" i="11" s="1"/>
  <c r="E33" i="13"/>
  <c r="D32" i="13"/>
  <c r="E32" i="13" s="1"/>
  <c r="P31" i="13"/>
  <c r="F31" i="13"/>
  <c r="D124" i="11" s="1"/>
  <c r="F124" i="11" s="1"/>
  <c r="E31" i="13"/>
  <c r="F30" i="13"/>
  <c r="G30" i="13" s="1"/>
  <c r="E30" i="13"/>
  <c r="F29" i="13"/>
  <c r="G29" i="13" s="1"/>
  <c r="E29" i="13"/>
  <c r="F28" i="13"/>
  <c r="G28" i="13" s="1"/>
  <c r="E28" i="13"/>
  <c r="S27" i="13"/>
  <c r="P27" i="13"/>
  <c r="F27" i="13"/>
  <c r="G27" i="13" s="1"/>
  <c r="E27" i="13"/>
  <c r="F26" i="13"/>
  <c r="G26" i="13" s="1"/>
  <c r="E26" i="13"/>
  <c r="F25" i="13"/>
  <c r="D118" i="11" s="1"/>
  <c r="F118" i="11" s="1"/>
  <c r="E25" i="13"/>
  <c r="F24" i="13"/>
  <c r="D117" i="11" s="1"/>
  <c r="F117" i="11" s="1"/>
  <c r="E24" i="13"/>
  <c r="S23" i="13"/>
  <c r="T21" i="13" s="1"/>
  <c r="U21" i="13" s="1"/>
  <c r="F23" i="13"/>
  <c r="D116" i="11" s="1"/>
  <c r="E23" i="13"/>
  <c r="T22" i="13"/>
  <c r="F22" i="13"/>
  <c r="D115" i="11" s="1"/>
  <c r="E22" i="13"/>
  <c r="F21" i="13"/>
  <c r="G21" i="13" s="1"/>
  <c r="E21" i="13"/>
  <c r="T20" i="13"/>
  <c r="F20" i="13"/>
  <c r="G20" i="13" s="1"/>
  <c r="E20" i="13"/>
  <c r="F19" i="13"/>
  <c r="G19" i="13" s="1"/>
  <c r="E19" i="13"/>
  <c r="D18" i="13"/>
  <c r="E18" i="13" s="1"/>
  <c r="F17" i="13"/>
  <c r="D110" i="11" s="1"/>
  <c r="E17" i="13"/>
  <c r="T16" i="13"/>
  <c r="S16" i="13" s="1"/>
  <c r="U16" i="13" s="1"/>
  <c r="F16" i="13"/>
  <c r="D109" i="11" s="1"/>
  <c r="F109" i="11" s="1"/>
  <c r="E16" i="13"/>
  <c r="F15" i="13"/>
  <c r="G15" i="13" s="1"/>
  <c r="E15" i="13"/>
  <c r="F14" i="13"/>
  <c r="G14" i="13" s="1"/>
  <c r="E14" i="13"/>
  <c r="F13" i="13"/>
  <c r="D106" i="11" s="1"/>
  <c r="E13" i="13"/>
  <c r="P12" i="13"/>
  <c r="O12" i="13" s="1"/>
  <c r="F12" i="13"/>
  <c r="G12" i="13" s="1"/>
  <c r="E12" i="13"/>
  <c r="T11" i="13"/>
  <c r="S11" i="13"/>
  <c r="U11" i="13" s="1"/>
  <c r="M11" i="13"/>
  <c r="M13" i="13" s="1"/>
  <c r="L11" i="13"/>
  <c r="F11" i="13"/>
  <c r="G11" i="13" s="1"/>
  <c r="E11" i="13"/>
  <c r="H10" i="13"/>
  <c r="F10" i="13"/>
  <c r="G10" i="13" s="1"/>
  <c r="E10" i="13"/>
  <c r="F9" i="13"/>
  <c r="D102" i="11" s="1"/>
  <c r="F102" i="11" s="1"/>
  <c r="E9" i="13"/>
  <c r="F8" i="13"/>
  <c r="D101" i="11" s="1"/>
  <c r="F101" i="11" s="1"/>
  <c r="E8" i="13"/>
  <c r="P7" i="13"/>
  <c r="O7" i="13" s="1"/>
  <c r="Q7" i="13" s="1"/>
  <c r="F7" i="13"/>
  <c r="E7" i="13"/>
  <c r="H6" i="13"/>
  <c r="E6" i="13"/>
  <c r="D6" i="13"/>
  <c r="D5" i="13" s="1"/>
  <c r="F3" i="13"/>
  <c r="H4" i="13" l="1"/>
  <c r="H3" i="13" s="1"/>
  <c r="G23" i="13"/>
  <c r="G24" i="13"/>
  <c r="F6" i="13"/>
  <c r="D99" i="11" s="1"/>
  <c r="E99" i="11" s="1"/>
  <c r="F99" i="11" s="1"/>
  <c r="G8" i="13"/>
  <c r="G16" i="13"/>
  <c r="F36" i="13"/>
  <c r="D105" i="11"/>
  <c r="D113" i="11"/>
  <c r="F113" i="11" s="1"/>
  <c r="D121" i="11"/>
  <c r="D131" i="11"/>
  <c r="F131" i="11" s="1"/>
  <c r="M14" i="13"/>
  <c r="G13" i="13"/>
  <c r="D114" i="11"/>
  <c r="F114" i="11" s="1"/>
  <c r="D122" i="11"/>
  <c r="D128" i="11"/>
  <c r="F128" i="11" s="1"/>
  <c r="D132" i="11"/>
  <c r="F132" i="11" s="1"/>
  <c r="D103" i="11"/>
  <c r="F103" i="11" s="1"/>
  <c r="D107" i="11"/>
  <c r="D119" i="11"/>
  <c r="D123" i="11"/>
  <c r="F32" i="13"/>
  <c r="F18" i="13" s="1"/>
  <c r="D100" i="11"/>
  <c r="D104" i="11"/>
  <c r="F104" i="11" s="1"/>
  <c r="D108" i="11"/>
  <c r="D112" i="11"/>
  <c r="F112" i="11" s="1"/>
  <c r="D120" i="11"/>
  <c r="D130" i="11"/>
  <c r="F130" i="11" s="1"/>
  <c r="E5" i="13"/>
  <c r="D4" i="13"/>
  <c r="Q12" i="13"/>
  <c r="Q16" i="13" s="1"/>
  <c r="U20" i="13"/>
  <c r="U22" i="13"/>
  <c r="K13" i="13"/>
  <c r="K5" i="13"/>
  <c r="G7" i="13"/>
  <c r="G34" i="13"/>
  <c r="G9" i="13"/>
  <c r="G17" i="13"/>
  <c r="G22" i="13"/>
  <c r="G25" i="13"/>
  <c r="G31" i="13"/>
  <c r="G33" i="13"/>
  <c r="F5" i="13" l="1"/>
  <c r="D98" i="11" s="1"/>
  <c r="F98" i="11" s="1"/>
  <c r="G6" i="13"/>
  <c r="G32" i="13"/>
  <c r="D125" i="11"/>
  <c r="F125" i="11" s="1"/>
  <c r="G36" i="13"/>
  <c r="D129" i="11"/>
  <c r="F129" i="11" s="1"/>
  <c r="G18" i="13"/>
  <c r="D111" i="11"/>
  <c r="F111" i="11" s="1"/>
  <c r="G5" i="13"/>
  <c r="F4" i="13"/>
  <c r="D97" i="11" s="1"/>
  <c r="F97" i="11" s="1"/>
  <c r="D40" i="13"/>
  <c r="E4" i="13"/>
  <c r="E40" i="13" l="1"/>
  <c r="L38" i="13"/>
  <c r="G4" i="13"/>
  <c r="F40" i="13"/>
  <c r="F39" i="9" l="1"/>
  <c r="G39" i="9" s="1"/>
  <c r="E39" i="9"/>
  <c r="F38" i="9"/>
  <c r="G38" i="9" s="1"/>
  <c r="E38" i="9"/>
  <c r="P37" i="9"/>
  <c r="F37" i="9"/>
  <c r="F36" i="9" s="1"/>
  <c r="G36" i="9" s="1"/>
  <c r="D37" i="9"/>
  <c r="D36" i="9" s="1"/>
  <c r="E36" i="9" s="1"/>
  <c r="F35" i="9"/>
  <c r="G35" i="9" s="1"/>
  <c r="E35" i="9"/>
  <c r="P34" i="9"/>
  <c r="F34" i="9"/>
  <c r="G34" i="9" s="1"/>
  <c r="F33" i="9"/>
  <c r="D32" i="9"/>
  <c r="D18" i="9" s="1"/>
  <c r="E18" i="9" s="1"/>
  <c r="E111" i="11" s="1"/>
  <c r="P31" i="9"/>
  <c r="F31" i="9"/>
  <c r="G31" i="9" s="1"/>
  <c r="E31" i="9"/>
  <c r="F30" i="9"/>
  <c r="G30" i="9" s="1"/>
  <c r="E30" i="9"/>
  <c r="F29" i="9"/>
  <c r="G29" i="9" s="1"/>
  <c r="E29" i="9"/>
  <c r="F28" i="9"/>
  <c r="G28" i="9" s="1"/>
  <c r="E28" i="9"/>
  <c r="P27" i="9"/>
  <c r="S27" i="9" s="1"/>
  <c r="F27" i="9"/>
  <c r="G27" i="9" s="1"/>
  <c r="E27" i="9"/>
  <c r="F26" i="9"/>
  <c r="G26" i="9" s="1"/>
  <c r="E26" i="9"/>
  <c r="F25" i="9"/>
  <c r="G25" i="9" s="1"/>
  <c r="E25" i="9"/>
  <c r="F24" i="9"/>
  <c r="G24" i="9" s="1"/>
  <c r="E24" i="9"/>
  <c r="S23" i="9"/>
  <c r="T21" i="9" s="1"/>
  <c r="U21" i="9" s="1"/>
  <c r="F23" i="9"/>
  <c r="G23" i="9" s="1"/>
  <c r="E23" i="9"/>
  <c r="F22" i="9"/>
  <c r="G22" i="9" s="1"/>
  <c r="E22" i="9"/>
  <c r="F21" i="9"/>
  <c r="G21" i="9" s="1"/>
  <c r="E21" i="9"/>
  <c r="T20" i="9"/>
  <c r="F20" i="9"/>
  <c r="E20" i="9"/>
  <c r="F19" i="9"/>
  <c r="G19" i="9" s="1"/>
  <c r="E19" i="9"/>
  <c r="F17" i="9"/>
  <c r="G17" i="9" s="1"/>
  <c r="E17" i="9"/>
  <c r="T16" i="9"/>
  <c r="S16" i="9" s="1"/>
  <c r="F16" i="9"/>
  <c r="G16" i="9" s="1"/>
  <c r="E16" i="9"/>
  <c r="F15" i="9"/>
  <c r="G15" i="9" s="1"/>
  <c r="E15" i="9"/>
  <c r="F14" i="9"/>
  <c r="G14" i="9" s="1"/>
  <c r="E14" i="9"/>
  <c r="F13" i="9"/>
  <c r="G13" i="9" s="1"/>
  <c r="E13" i="9"/>
  <c r="P12" i="9"/>
  <c r="O12" i="9"/>
  <c r="U20" i="9" s="1"/>
  <c r="F12" i="9"/>
  <c r="G12" i="9" s="1"/>
  <c r="E12" i="9"/>
  <c r="T11" i="9"/>
  <c r="S11" i="9"/>
  <c r="U11" i="9" s="1"/>
  <c r="L11" i="9"/>
  <c r="M11" i="9" s="1"/>
  <c r="M13" i="9" s="1"/>
  <c r="F11" i="9"/>
  <c r="G11" i="9" s="1"/>
  <c r="E11" i="9"/>
  <c r="E104" i="11" s="1"/>
  <c r="H10" i="9"/>
  <c r="F10" i="9"/>
  <c r="G10" i="9" s="1"/>
  <c r="E10" i="9"/>
  <c r="F9" i="9"/>
  <c r="G9" i="9" s="1"/>
  <c r="E9" i="9"/>
  <c r="F8" i="9"/>
  <c r="G8" i="9" s="1"/>
  <c r="E8" i="9"/>
  <c r="P7" i="9"/>
  <c r="O7" i="9"/>
  <c r="Q7" i="9" s="1"/>
  <c r="F7" i="9"/>
  <c r="E7" i="9"/>
  <c r="H6" i="9"/>
  <c r="E6" i="9"/>
  <c r="D6" i="9"/>
  <c r="D5" i="9" s="1"/>
  <c r="F3" i="9"/>
  <c r="G7" i="9" l="1"/>
  <c r="E100" i="11"/>
  <c r="F100" i="11" s="1"/>
  <c r="M14" i="9"/>
  <c r="F32" i="9"/>
  <c r="G32" i="9" s="1"/>
  <c r="H4" i="9"/>
  <c r="H3" i="9" s="1"/>
  <c r="E5" i="9"/>
  <c r="E98" i="11" s="1"/>
  <c r="D4" i="9"/>
  <c r="K13" i="9"/>
  <c r="U16" i="9"/>
  <c r="G37" i="9"/>
  <c r="G33" i="9"/>
  <c r="F6" i="9"/>
  <c r="Q12" i="9"/>
  <c r="Q16" i="9" s="1"/>
  <c r="G20" i="9"/>
  <c r="T22" i="9"/>
  <c r="U22" i="9" s="1"/>
  <c r="E37" i="9"/>
  <c r="K5" i="9" l="1"/>
  <c r="F18" i="9"/>
  <c r="G18" i="9" s="1"/>
  <c r="F5" i="9"/>
  <c r="G6" i="9"/>
  <c r="D40" i="9"/>
  <c r="E4" i="9"/>
  <c r="E97" i="11" s="1"/>
  <c r="L38" i="9" l="1"/>
  <c r="E40" i="9"/>
  <c r="E133" i="11" s="1"/>
  <c r="G5" i="9"/>
  <c r="F4" i="9"/>
  <c r="G4" i="9" l="1"/>
  <c r="F40" i="9"/>
  <c r="F96" i="11" l="1"/>
  <c r="E121" i="11"/>
  <c r="F121" i="11" s="1"/>
  <c r="E119" i="11"/>
  <c r="F119" i="11" s="1"/>
  <c r="E115" i="11"/>
  <c r="F115" i="11" s="1"/>
  <c r="E107" i="11"/>
  <c r="F107" i="11" s="1"/>
  <c r="F9" i="11"/>
  <c r="F10" i="11"/>
  <c r="F11" i="11"/>
  <c r="F12" i="11"/>
  <c r="F13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7" i="11"/>
  <c r="F39" i="11"/>
  <c r="F40" i="11"/>
  <c r="F42" i="11"/>
  <c r="F43" i="11"/>
  <c r="F44" i="11"/>
  <c r="F45" i="11"/>
  <c r="F46" i="11"/>
  <c r="F47" i="11"/>
  <c r="F50" i="11"/>
  <c r="F51" i="11"/>
  <c r="F52" i="11"/>
  <c r="F53" i="11"/>
  <c r="F55" i="11"/>
  <c r="F56" i="11"/>
  <c r="F58" i="11"/>
  <c r="F59" i="11"/>
  <c r="F60" i="11"/>
  <c r="F61" i="11"/>
  <c r="F64" i="11"/>
  <c r="F65" i="11"/>
  <c r="F66" i="11"/>
  <c r="F69" i="11"/>
  <c r="F70" i="11"/>
  <c r="F71" i="11"/>
  <c r="F74" i="11"/>
  <c r="F75" i="11"/>
  <c r="F76" i="11"/>
  <c r="F77" i="11"/>
  <c r="F78" i="11"/>
  <c r="F80" i="11"/>
  <c r="F81" i="11"/>
  <c r="F82" i="11"/>
  <c r="F83" i="11"/>
  <c r="F84" i="11"/>
  <c r="F87" i="11"/>
  <c r="F88" i="11"/>
  <c r="D89" i="11"/>
  <c r="D86" i="11"/>
  <c r="D85" i="11"/>
  <c r="D79" i="11"/>
  <c r="D73" i="11"/>
  <c r="D72" i="11"/>
  <c r="D68" i="11"/>
  <c r="D67" i="11"/>
  <c r="F67" i="11" s="1"/>
  <c r="D63" i="11"/>
  <c r="D62" i="11"/>
  <c r="F62" i="11" s="1"/>
  <c r="D57" i="11"/>
  <c r="D54" i="11"/>
  <c r="D49" i="11"/>
  <c r="D48" i="11"/>
  <c r="D41" i="11"/>
  <c r="D38" i="11"/>
  <c r="D36" i="11"/>
  <c r="D35" i="11"/>
  <c r="F35" i="11" s="1"/>
  <c r="D14" i="11"/>
  <c r="D7" i="11"/>
  <c r="D6" i="11"/>
  <c r="D5" i="11"/>
  <c r="D4" i="11"/>
  <c r="G404" i="12" l="1"/>
  <c r="H404" i="12" s="1"/>
  <c r="I404" i="12" s="1"/>
  <c r="G403" i="12"/>
  <c r="H403" i="12" s="1"/>
  <c r="I403" i="12" s="1"/>
  <c r="G402" i="12"/>
  <c r="H402" i="12" s="1"/>
  <c r="I402" i="12" s="1"/>
  <c r="D402" i="12"/>
  <c r="G401" i="12"/>
  <c r="H401" i="12" s="1"/>
  <c r="I401" i="12" s="1"/>
  <c r="G400" i="12"/>
  <c r="H400" i="12" s="1"/>
  <c r="I400" i="12" s="1"/>
  <c r="H399" i="12"/>
  <c r="I399" i="12" s="1"/>
  <c r="G399" i="12"/>
  <c r="G398" i="12"/>
  <c r="H398" i="12" s="1"/>
  <c r="I398" i="12" s="1"/>
  <c r="G397" i="12"/>
  <c r="H397" i="12" s="1"/>
  <c r="I397" i="12" s="1"/>
  <c r="G396" i="12"/>
  <c r="H396" i="12" s="1"/>
  <c r="I396" i="12" s="1"/>
  <c r="I395" i="12"/>
  <c r="H395" i="12"/>
  <c r="G395" i="12"/>
  <c r="G394" i="12"/>
  <c r="H394" i="12" s="1"/>
  <c r="I394" i="12" s="1"/>
  <c r="G393" i="12"/>
  <c r="H393" i="12" s="1"/>
  <c r="I393" i="12" s="1"/>
  <c r="G392" i="12"/>
  <c r="H392" i="12" s="1"/>
  <c r="I392" i="12" s="1"/>
  <c r="H391" i="12"/>
  <c r="I391" i="12" s="1"/>
  <c r="G391" i="12"/>
  <c r="G390" i="12"/>
  <c r="D389" i="12"/>
  <c r="G388" i="12"/>
  <c r="H388" i="12" s="1"/>
  <c r="I388" i="12" s="1"/>
  <c r="I387" i="12"/>
  <c r="H387" i="12"/>
  <c r="G387" i="12"/>
  <c r="I386" i="12"/>
  <c r="G386" i="12"/>
  <c r="H386" i="12" s="1"/>
  <c r="G385" i="12"/>
  <c r="H385" i="12" s="1"/>
  <c r="I385" i="12" s="1"/>
  <c r="D385" i="12"/>
  <c r="H384" i="12"/>
  <c r="I384" i="12" s="1"/>
  <c r="G384" i="12"/>
  <c r="G383" i="12"/>
  <c r="D382" i="12"/>
  <c r="D381" i="12" s="1"/>
  <c r="G380" i="12"/>
  <c r="H380" i="12" s="1"/>
  <c r="I380" i="12" s="1"/>
  <c r="G379" i="12"/>
  <c r="H379" i="12" s="1"/>
  <c r="I379" i="12" s="1"/>
  <c r="H378" i="12"/>
  <c r="I378" i="12" s="1"/>
  <c r="G378" i="12"/>
  <c r="D378" i="12"/>
  <c r="I377" i="12"/>
  <c r="H377" i="12"/>
  <c r="G377" i="12"/>
  <c r="H376" i="12"/>
  <c r="I376" i="12" s="1"/>
  <c r="G376" i="12"/>
  <c r="H375" i="12"/>
  <c r="I375" i="12" s="1"/>
  <c r="G375" i="12"/>
  <c r="D374" i="12"/>
  <c r="G374" i="12" s="1"/>
  <c r="H374" i="12" s="1"/>
  <c r="I374" i="12" s="1"/>
  <c r="G373" i="12"/>
  <c r="H373" i="12" s="1"/>
  <c r="I373" i="12" s="1"/>
  <c r="G372" i="12"/>
  <c r="H372" i="12" s="1"/>
  <c r="I372" i="12" s="1"/>
  <c r="G371" i="12"/>
  <c r="H371" i="12" s="1"/>
  <c r="I371" i="12" s="1"/>
  <c r="I370" i="12"/>
  <c r="H370" i="12"/>
  <c r="G370" i="12"/>
  <c r="D369" i="12"/>
  <c r="G369" i="12" s="1"/>
  <c r="H369" i="12" s="1"/>
  <c r="I369" i="12" s="1"/>
  <c r="H368" i="12"/>
  <c r="I368" i="12" s="1"/>
  <c r="G368" i="12"/>
  <c r="H367" i="12"/>
  <c r="I367" i="12" s="1"/>
  <c r="G367" i="12"/>
  <c r="G366" i="12"/>
  <c r="H366" i="12" s="1"/>
  <c r="I366" i="12" s="1"/>
  <c r="G365" i="12"/>
  <c r="H365" i="12" s="1"/>
  <c r="I365" i="12" s="1"/>
  <c r="H364" i="12"/>
  <c r="I364" i="12" s="1"/>
  <c r="G364" i="12"/>
  <c r="G363" i="12"/>
  <c r="H363" i="12" s="1"/>
  <c r="I363" i="12" s="1"/>
  <c r="G362" i="12"/>
  <c r="H362" i="12" s="1"/>
  <c r="I362" i="12" s="1"/>
  <c r="G361" i="12"/>
  <c r="H361" i="12" s="1"/>
  <c r="I361" i="12" s="1"/>
  <c r="H360" i="12"/>
  <c r="I360" i="12" s="1"/>
  <c r="G360" i="12"/>
  <c r="G359" i="12"/>
  <c r="H359" i="12" s="1"/>
  <c r="I359" i="12" s="1"/>
  <c r="G358" i="12"/>
  <c r="H358" i="12" s="1"/>
  <c r="I358" i="12" s="1"/>
  <c r="G357" i="12"/>
  <c r="H357" i="12" s="1"/>
  <c r="I357" i="12" s="1"/>
  <c r="I356" i="12"/>
  <c r="H356" i="12"/>
  <c r="G356" i="12"/>
  <c r="H355" i="12"/>
  <c r="I355" i="12" s="1"/>
  <c r="G355" i="12"/>
  <c r="G354" i="12"/>
  <c r="H354" i="12" s="1"/>
  <c r="I354" i="12" s="1"/>
  <c r="G353" i="12"/>
  <c r="H353" i="12" s="1"/>
  <c r="I353" i="12" s="1"/>
  <c r="I352" i="12"/>
  <c r="H352" i="12"/>
  <c r="G352" i="12"/>
  <c r="G351" i="12"/>
  <c r="H351" i="12" s="1"/>
  <c r="I351" i="12" s="1"/>
  <c r="G350" i="12"/>
  <c r="H350" i="12" s="1"/>
  <c r="I350" i="12" s="1"/>
  <c r="D350" i="12"/>
  <c r="G349" i="12"/>
  <c r="H349" i="12" s="1"/>
  <c r="I349" i="12" s="1"/>
  <c r="D348" i="12"/>
  <c r="G348" i="12" s="1"/>
  <c r="H348" i="12" s="1"/>
  <c r="I348" i="12" s="1"/>
  <c r="I347" i="12"/>
  <c r="H347" i="12"/>
  <c r="G347" i="12"/>
  <c r="I346" i="12"/>
  <c r="H346" i="12"/>
  <c r="G346" i="12"/>
  <c r="G345" i="12"/>
  <c r="H345" i="12" s="1"/>
  <c r="I345" i="12" s="1"/>
  <c r="G344" i="12"/>
  <c r="H344" i="12" s="1"/>
  <c r="I344" i="12" s="1"/>
  <c r="I343" i="12"/>
  <c r="H343" i="12"/>
  <c r="G343" i="12"/>
  <c r="I342" i="12"/>
  <c r="H342" i="12"/>
  <c r="G342" i="12"/>
  <c r="G341" i="12"/>
  <c r="H341" i="12" s="1"/>
  <c r="I341" i="12" s="1"/>
  <c r="G340" i="12"/>
  <c r="H340" i="12" s="1"/>
  <c r="I340" i="12" s="1"/>
  <c r="I339" i="12"/>
  <c r="H339" i="12"/>
  <c r="G339" i="12"/>
  <c r="I338" i="12"/>
  <c r="H338" i="12"/>
  <c r="G338" i="12"/>
  <c r="G337" i="12"/>
  <c r="H337" i="12" s="1"/>
  <c r="I337" i="12" s="1"/>
  <c r="H336" i="12"/>
  <c r="I336" i="12" s="1"/>
  <c r="G336" i="12"/>
  <c r="I335" i="12"/>
  <c r="H335" i="12"/>
  <c r="G335" i="12"/>
  <c r="D334" i="12"/>
  <c r="K333" i="12"/>
  <c r="K332" i="12"/>
  <c r="K330" i="12" s="1"/>
  <c r="D323" i="12"/>
  <c r="D322" i="12" s="1"/>
  <c r="D311" i="12"/>
  <c r="D305" i="12"/>
  <c r="G304" i="12"/>
  <c r="H303" i="12"/>
  <c r="I303" i="12" s="1"/>
  <c r="G303" i="12"/>
  <c r="D302" i="12"/>
  <c r="I300" i="12"/>
  <c r="H300" i="12"/>
  <c r="G300" i="12"/>
  <c r="G299" i="12"/>
  <c r="H299" i="12" s="1"/>
  <c r="I299" i="12" s="1"/>
  <c r="G298" i="12"/>
  <c r="H298" i="12" s="1"/>
  <c r="I298" i="12" s="1"/>
  <c r="I297" i="12"/>
  <c r="G297" i="12"/>
  <c r="H297" i="12" s="1"/>
  <c r="I296" i="12"/>
  <c r="H296" i="12"/>
  <c r="G296" i="12"/>
  <c r="J295" i="12"/>
  <c r="G295" i="12"/>
  <c r="H295" i="12" s="1"/>
  <c r="I295" i="12" s="1"/>
  <c r="F295" i="12"/>
  <c r="D295" i="12"/>
  <c r="D291" i="12"/>
  <c r="I290" i="12"/>
  <c r="H290" i="12"/>
  <c r="G290" i="12"/>
  <c r="G289" i="12"/>
  <c r="H289" i="12" s="1"/>
  <c r="I289" i="12" s="1"/>
  <c r="H288" i="12"/>
  <c r="I288" i="12" s="1"/>
  <c r="G288" i="12"/>
  <c r="J287" i="12"/>
  <c r="F287" i="12"/>
  <c r="G287" i="12" s="1"/>
  <c r="H287" i="12" s="1"/>
  <c r="I287" i="12" s="1"/>
  <c r="D287" i="12"/>
  <c r="G286" i="12"/>
  <c r="H286" i="12" s="1"/>
  <c r="I286" i="12" s="1"/>
  <c r="G285" i="12"/>
  <c r="H285" i="12" s="1"/>
  <c r="I285" i="12" s="1"/>
  <c r="I284" i="12"/>
  <c r="H284" i="12"/>
  <c r="G284" i="12"/>
  <c r="F283" i="12"/>
  <c r="D283" i="12"/>
  <c r="G282" i="12"/>
  <c r="H282" i="12" s="1"/>
  <c r="I282" i="12" s="1"/>
  <c r="I281" i="12"/>
  <c r="H281" i="12"/>
  <c r="G281" i="12"/>
  <c r="H280" i="12"/>
  <c r="I280" i="12" s="1"/>
  <c r="G280" i="12"/>
  <c r="G279" i="12"/>
  <c r="H279" i="12" s="1"/>
  <c r="I279" i="12" s="1"/>
  <c r="I278" i="12"/>
  <c r="G278" i="12"/>
  <c r="H278" i="12" s="1"/>
  <c r="H277" i="12"/>
  <c r="I277" i="12" s="1"/>
  <c r="G277" i="12"/>
  <c r="G275" i="12" s="1"/>
  <c r="F275" i="12" s="1"/>
  <c r="H276" i="12"/>
  <c r="I276" i="12" s="1"/>
  <c r="G276" i="12"/>
  <c r="D275" i="12"/>
  <c r="G274" i="12"/>
  <c r="H274" i="12" s="1"/>
  <c r="I274" i="12" s="1"/>
  <c r="G273" i="12"/>
  <c r="H273" i="12" s="1"/>
  <c r="I273" i="12" s="1"/>
  <c r="D272" i="12"/>
  <c r="G272" i="12" s="1"/>
  <c r="H272" i="12" s="1"/>
  <c r="I272" i="12" s="1"/>
  <c r="G271" i="12"/>
  <c r="H271" i="12" s="1"/>
  <c r="I271" i="12" s="1"/>
  <c r="I270" i="12"/>
  <c r="H270" i="12"/>
  <c r="G270" i="12"/>
  <c r="H269" i="12"/>
  <c r="I269" i="12" s="1"/>
  <c r="G269" i="12"/>
  <c r="G268" i="12"/>
  <c r="H268" i="12" s="1"/>
  <c r="I268" i="12" s="1"/>
  <c r="G267" i="12"/>
  <c r="H267" i="12" s="1"/>
  <c r="I267" i="12" s="1"/>
  <c r="H266" i="12"/>
  <c r="I266" i="12" s="1"/>
  <c r="G266" i="12"/>
  <c r="H265" i="12"/>
  <c r="I265" i="12" s="1"/>
  <c r="G265" i="12"/>
  <c r="G264" i="12"/>
  <c r="H264" i="12" s="1"/>
  <c r="I264" i="12" s="1"/>
  <c r="J263" i="12"/>
  <c r="H263" i="12"/>
  <c r="I263" i="12" s="1"/>
  <c r="F263" i="12"/>
  <c r="G263" i="12" s="1"/>
  <c r="D263" i="12"/>
  <c r="G261" i="12"/>
  <c r="H261" i="12" s="1"/>
  <c r="I261" i="12" s="1"/>
  <c r="I260" i="12"/>
  <c r="H260" i="12"/>
  <c r="G260" i="12"/>
  <c r="G259" i="12"/>
  <c r="H259" i="12" s="1"/>
  <c r="I259" i="12" s="1"/>
  <c r="G258" i="12"/>
  <c r="H258" i="12" s="1"/>
  <c r="I258" i="12" s="1"/>
  <c r="I257" i="12"/>
  <c r="D257" i="12"/>
  <c r="G257" i="12" s="1"/>
  <c r="H257" i="12" s="1"/>
  <c r="G256" i="12"/>
  <c r="H256" i="12" s="1"/>
  <c r="I256" i="12" s="1"/>
  <c r="G255" i="12"/>
  <c r="H255" i="12" s="1"/>
  <c r="I255" i="12" s="1"/>
  <c r="G254" i="12"/>
  <c r="H254" i="12" s="1"/>
  <c r="I254" i="12" s="1"/>
  <c r="D253" i="12"/>
  <c r="G253" i="12" s="1"/>
  <c r="H253" i="12" s="1"/>
  <c r="I253" i="12" s="1"/>
  <c r="G252" i="12"/>
  <c r="H252" i="12" s="1"/>
  <c r="I252" i="12" s="1"/>
  <c r="I251" i="12"/>
  <c r="H251" i="12"/>
  <c r="G251" i="12"/>
  <c r="G250" i="12"/>
  <c r="H250" i="12" s="1"/>
  <c r="I250" i="12" s="1"/>
  <c r="J249" i="12"/>
  <c r="D249" i="12"/>
  <c r="G248" i="12"/>
  <c r="H248" i="12" s="1"/>
  <c r="I248" i="12" s="1"/>
  <c r="G247" i="12"/>
  <c r="H247" i="12" s="1"/>
  <c r="I247" i="12" s="1"/>
  <c r="I246" i="12"/>
  <c r="G246" i="12"/>
  <c r="H246" i="12" s="1"/>
  <c r="I245" i="12"/>
  <c r="H245" i="12"/>
  <c r="G245" i="12"/>
  <c r="G244" i="12"/>
  <c r="H244" i="12" s="1"/>
  <c r="I244" i="12" s="1"/>
  <c r="G243" i="12"/>
  <c r="H243" i="12" s="1"/>
  <c r="I243" i="12" s="1"/>
  <c r="D243" i="12"/>
  <c r="H242" i="12"/>
  <c r="I242" i="12" s="1"/>
  <c r="G242" i="12"/>
  <c r="G241" i="12"/>
  <c r="H241" i="12" s="1"/>
  <c r="I241" i="12" s="1"/>
  <c r="G240" i="12"/>
  <c r="H240" i="12" s="1"/>
  <c r="I240" i="12" s="1"/>
  <c r="I239" i="12"/>
  <c r="H239" i="12"/>
  <c r="G239" i="12"/>
  <c r="D239" i="12"/>
  <c r="G238" i="12"/>
  <c r="H238" i="12" s="1"/>
  <c r="I238" i="12" s="1"/>
  <c r="G237" i="12"/>
  <c r="H237" i="12" s="1"/>
  <c r="I237" i="12" s="1"/>
  <c r="H236" i="12"/>
  <c r="I236" i="12" s="1"/>
  <c r="G236" i="12"/>
  <c r="G235" i="12"/>
  <c r="H235" i="12" s="1"/>
  <c r="I235" i="12" s="1"/>
  <c r="G234" i="12"/>
  <c r="H234" i="12" s="1"/>
  <c r="I234" i="12" s="1"/>
  <c r="G233" i="12"/>
  <c r="H233" i="12" s="1"/>
  <c r="I233" i="12" s="1"/>
  <c r="I232" i="12"/>
  <c r="H232" i="12"/>
  <c r="G232" i="12"/>
  <c r="G231" i="12"/>
  <c r="H231" i="12" s="1"/>
  <c r="I231" i="12" s="1"/>
  <c r="G230" i="12"/>
  <c r="H230" i="12" s="1"/>
  <c r="I230" i="12" s="1"/>
  <c r="H229" i="12"/>
  <c r="I229" i="12" s="1"/>
  <c r="G229" i="12"/>
  <c r="H228" i="12"/>
  <c r="I228" i="12" s="1"/>
  <c r="G228" i="12"/>
  <c r="H227" i="12"/>
  <c r="I227" i="12" s="1"/>
  <c r="G227" i="12"/>
  <c r="G226" i="12"/>
  <c r="H226" i="12" s="1"/>
  <c r="I226" i="12" s="1"/>
  <c r="H225" i="12"/>
  <c r="I225" i="12" s="1"/>
  <c r="G225" i="12"/>
  <c r="H224" i="12"/>
  <c r="I224" i="12" s="1"/>
  <c r="G224" i="12"/>
  <c r="G223" i="12"/>
  <c r="H223" i="12" s="1"/>
  <c r="I223" i="12" s="1"/>
  <c r="G222" i="12"/>
  <c r="H222" i="12" s="1"/>
  <c r="I222" i="12" s="1"/>
  <c r="G221" i="12"/>
  <c r="H221" i="12" s="1"/>
  <c r="I221" i="12" s="1"/>
  <c r="H220" i="12"/>
  <c r="I220" i="12" s="1"/>
  <c r="G220" i="12"/>
  <c r="G219" i="12"/>
  <c r="H219" i="12" s="1"/>
  <c r="I219" i="12" s="1"/>
  <c r="G218" i="12"/>
  <c r="H218" i="12" s="1"/>
  <c r="I218" i="12" s="1"/>
  <c r="G217" i="12"/>
  <c r="H217" i="12" s="1"/>
  <c r="I217" i="12" s="1"/>
  <c r="I216" i="12"/>
  <c r="H216" i="12"/>
  <c r="G216" i="12"/>
  <c r="G215" i="12"/>
  <c r="H215" i="12" s="1"/>
  <c r="I215" i="12" s="1"/>
  <c r="G214" i="12"/>
  <c r="H214" i="12" s="1"/>
  <c r="I214" i="12" s="1"/>
  <c r="G213" i="12"/>
  <c r="H213" i="12" s="1"/>
  <c r="I213" i="12" s="1"/>
  <c r="H212" i="12"/>
  <c r="I212" i="12" s="1"/>
  <c r="G212" i="12"/>
  <c r="G211" i="12"/>
  <c r="H211" i="12" s="1"/>
  <c r="I211" i="12" s="1"/>
  <c r="G210" i="12"/>
  <c r="H210" i="12" s="1"/>
  <c r="I210" i="12" s="1"/>
  <c r="H209" i="12"/>
  <c r="I209" i="12" s="1"/>
  <c r="G209" i="12"/>
  <c r="J208" i="12"/>
  <c r="D208" i="12"/>
  <c r="G208" i="12" s="1"/>
  <c r="H208" i="12" s="1"/>
  <c r="I208" i="12" s="1"/>
  <c r="I207" i="12"/>
  <c r="G207" i="12"/>
  <c r="H207" i="12" s="1"/>
  <c r="I206" i="12"/>
  <c r="H206" i="12"/>
  <c r="G206" i="12"/>
  <c r="G205" i="12"/>
  <c r="H205" i="12" s="1"/>
  <c r="I205" i="12" s="1"/>
  <c r="D205" i="12"/>
  <c r="H204" i="12"/>
  <c r="I204" i="12" s="1"/>
  <c r="G204" i="12"/>
  <c r="G203" i="12"/>
  <c r="H203" i="12" s="1"/>
  <c r="I203" i="12" s="1"/>
  <c r="G202" i="12"/>
  <c r="H202" i="12" s="1"/>
  <c r="I202" i="12" s="1"/>
  <c r="J201" i="12"/>
  <c r="H201" i="12"/>
  <c r="I201" i="12" s="1"/>
  <c r="D201" i="12"/>
  <c r="G201" i="12" s="1"/>
  <c r="I200" i="12"/>
  <c r="H200" i="12"/>
  <c r="G200" i="12"/>
  <c r="G199" i="12"/>
  <c r="H199" i="12" s="1"/>
  <c r="I199" i="12" s="1"/>
  <c r="G198" i="12"/>
  <c r="H198" i="12" s="1"/>
  <c r="I198" i="12" s="1"/>
  <c r="I197" i="12"/>
  <c r="G197" i="12"/>
  <c r="H197" i="12" s="1"/>
  <c r="I196" i="12"/>
  <c r="H196" i="12"/>
  <c r="G196" i="12"/>
  <c r="G195" i="12"/>
  <c r="H195" i="12" s="1"/>
  <c r="I195" i="12" s="1"/>
  <c r="H194" i="12"/>
  <c r="I194" i="12" s="1"/>
  <c r="G194" i="12"/>
  <c r="G193" i="12"/>
  <c r="H193" i="12" s="1"/>
  <c r="I193" i="12" s="1"/>
  <c r="I192" i="12"/>
  <c r="H192" i="12"/>
  <c r="G192" i="12"/>
  <c r="G191" i="12"/>
  <c r="H191" i="12" s="1"/>
  <c r="I191" i="12" s="1"/>
  <c r="D190" i="12"/>
  <c r="K189" i="12"/>
  <c r="K188" i="12"/>
  <c r="K186" i="12"/>
  <c r="D186" i="12"/>
  <c r="D180" i="12"/>
  <c r="D179" i="12"/>
  <c r="D173" i="12"/>
  <c r="D168" i="12" s="1"/>
  <c r="D169" i="12"/>
  <c r="H167" i="12"/>
  <c r="I167" i="12" s="1"/>
  <c r="G167" i="12"/>
  <c r="G166" i="12"/>
  <c r="H166" i="12" s="1"/>
  <c r="I166" i="12" s="1"/>
  <c r="D165" i="12"/>
  <c r="G164" i="12"/>
  <c r="H164" i="12" s="1"/>
  <c r="I164" i="12" s="1"/>
  <c r="G163" i="12"/>
  <c r="H163" i="12" s="1"/>
  <c r="I163" i="12" s="1"/>
  <c r="G162" i="12"/>
  <c r="H162" i="12" s="1"/>
  <c r="I162" i="12" s="1"/>
  <c r="G161" i="12"/>
  <c r="H161" i="12" s="1"/>
  <c r="I161" i="12" s="1"/>
  <c r="G160" i="12"/>
  <c r="H160" i="12" s="1"/>
  <c r="I160" i="12" s="1"/>
  <c r="I159" i="12"/>
  <c r="G159" i="12"/>
  <c r="H159" i="12" s="1"/>
  <c r="G158" i="12"/>
  <c r="F158" i="12"/>
  <c r="D158" i="12"/>
  <c r="G157" i="12"/>
  <c r="H157" i="12" s="1"/>
  <c r="I157" i="12" s="1"/>
  <c r="G156" i="12"/>
  <c r="H156" i="12" s="1"/>
  <c r="I156" i="12" s="1"/>
  <c r="J155" i="12"/>
  <c r="F155" i="12"/>
  <c r="D155" i="12"/>
  <c r="G155" i="12" s="1"/>
  <c r="H155" i="12" s="1"/>
  <c r="I155" i="12" s="1"/>
  <c r="I154" i="12"/>
  <c r="G154" i="12"/>
  <c r="H154" i="12" s="1"/>
  <c r="G153" i="12"/>
  <c r="H153" i="12" s="1"/>
  <c r="I153" i="12" s="1"/>
  <c r="J152" i="12"/>
  <c r="F152" i="12"/>
  <c r="D152" i="12"/>
  <c r="H150" i="12"/>
  <c r="I150" i="12" s="1"/>
  <c r="G150" i="12"/>
  <c r="H149" i="12"/>
  <c r="I149" i="12" s="1"/>
  <c r="G149" i="12"/>
  <c r="H148" i="12"/>
  <c r="I148" i="12" s="1"/>
  <c r="G148" i="12"/>
  <c r="J147" i="12"/>
  <c r="D147" i="12"/>
  <c r="G147" i="12" s="1"/>
  <c r="H147" i="12" s="1"/>
  <c r="I147" i="12" s="1"/>
  <c r="G146" i="12"/>
  <c r="H146" i="12" s="1"/>
  <c r="I146" i="12" s="1"/>
  <c r="G145" i="12"/>
  <c r="H145" i="12" s="1"/>
  <c r="I145" i="12" s="1"/>
  <c r="H144" i="12"/>
  <c r="I144" i="12" s="1"/>
  <c r="G144" i="12"/>
  <c r="G143" i="12"/>
  <c r="H143" i="12" s="1"/>
  <c r="I143" i="12" s="1"/>
  <c r="F142" i="12"/>
  <c r="G142" i="12" s="1"/>
  <c r="H142" i="12" s="1"/>
  <c r="I142" i="12" s="1"/>
  <c r="D142" i="12"/>
  <c r="G141" i="12"/>
  <c r="G140" i="12" s="1"/>
  <c r="F140" i="12"/>
  <c r="D140" i="12"/>
  <c r="G139" i="12"/>
  <c r="H139" i="12" s="1"/>
  <c r="I139" i="12" s="1"/>
  <c r="I138" i="12"/>
  <c r="G138" i="12"/>
  <c r="H138" i="12" s="1"/>
  <c r="G137" i="12"/>
  <c r="H137" i="12" s="1"/>
  <c r="I137" i="12" s="1"/>
  <c r="G136" i="12"/>
  <c r="H136" i="12" s="1"/>
  <c r="I136" i="12" s="1"/>
  <c r="D136" i="12"/>
  <c r="G135" i="12"/>
  <c r="H135" i="12" s="1"/>
  <c r="I135" i="12" s="1"/>
  <c r="G134" i="12"/>
  <c r="H134" i="12" s="1"/>
  <c r="I134" i="12" s="1"/>
  <c r="G133" i="12"/>
  <c r="H133" i="12" s="1"/>
  <c r="I133" i="12" s="1"/>
  <c r="H132" i="12"/>
  <c r="I132" i="12" s="1"/>
  <c r="G132" i="12"/>
  <c r="G131" i="12"/>
  <c r="H131" i="12" s="1"/>
  <c r="I131" i="12" s="1"/>
  <c r="D130" i="12"/>
  <c r="G130" i="12" s="1"/>
  <c r="G129" i="12"/>
  <c r="H129" i="12" s="1"/>
  <c r="I129" i="12" s="1"/>
  <c r="G128" i="12"/>
  <c r="H128" i="12" s="1"/>
  <c r="I128" i="12" s="1"/>
  <c r="G127" i="12"/>
  <c r="H127" i="12" s="1"/>
  <c r="I127" i="12" s="1"/>
  <c r="G126" i="12"/>
  <c r="H126" i="12" s="1"/>
  <c r="I126" i="12" s="1"/>
  <c r="G125" i="12"/>
  <c r="H125" i="12" s="1"/>
  <c r="I125" i="12" s="1"/>
  <c r="D125" i="12"/>
  <c r="I124" i="12"/>
  <c r="G124" i="12"/>
  <c r="H124" i="12" s="1"/>
  <c r="G123" i="12"/>
  <c r="H123" i="12" s="1"/>
  <c r="I123" i="12" s="1"/>
  <c r="G122" i="12"/>
  <c r="H122" i="12" s="1"/>
  <c r="I122" i="12" s="1"/>
  <c r="G121" i="12"/>
  <c r="H121" i="12" s="1"/>
  <c r="I121" i="12" s="1"/>
  <c r="I120" i="12"/>
  <c r="H120" i="12"/>
  <c r="G120" i="12"/>
  <c r="G119" i="12"/>
  <c r="H119" i="12" s="1"/>
  <c r="I119" i="12" s="1"/>
  <c r="H118" i="12"/>
  <c r="I118" i="12" s="1"/>
  <c r="G118" i="12"/>
  <c r="G117" i="12"/>
  <c r="H117" i="12" s="1"/>
  <c r="I117" i="12" s="1"/>
  <c r="H116" i="12"/>
  <c r="I116" i="12" s="1"/>
  <c r="G116" i="12"/>
  <c r="G115" i="12"/>
  <c r="H115" i="12" s="1"/>
  <c r="I115" i="12" s="1"/>
  <c r="H114" i="12"/>
  <c r="I114" i="12" s="1"/>
  <c r="G114" i="12"/>
  <c r="G113" i="12"/>
  <c r="H113" i="12" s="1"/>
  <c r="I113" i="12" s="1"/>
  <c r="I112" i="12"/>
  <c r="H112" i="12"/>
  <c r="G112" i="12"/>
  <c r="G111" i="12"/>
  <c r="H111" i="12" s="1"/>
  <c r="I111" i="12" s="1"/>
  <c r="G110" i="12"/>
  <c r="H110" i="12" s="1"/>
  <c r="I110" i="12" s="1"/>
  <c r="I109" i="12"/>
  <c r="H109" i="12"/>
  <c r="G109" i="12"/>
  <c r="H108" i="12"/>
  <c r="I108" i="12" s="1"/>
  <c r="G108" i="12"/>
  <c r="G107" i="12"/>
  <c r="H107" i="12" s="1"/>
  <c r="I107" i="12" s="1"/>
  <c r="F106" i="12"/>
  <c r="G106" i="12" s="1"/>
  <c r="H106" i="12" s="1"/>
  <c r="I106" i="12" s="1"/>
  <c r="D106" i="12"/>
  <c r="G105" i="12"/>
  <c r="H105" i="12" s="1"/>
  <c r="I105" i="12" s="1"/>
  <c r="I104" i="12"/>
  <c r="H104" i="12"/>
  <c r="G104" i="12"/>
  <c r="H103" i="12"/>
  <c r="I103" i="12" s="1"/>
  <c r="G103" i="12"/>
  <c r="H102" i="12"/>
  <c r="I102" i="12" s="1"/>
  <c r="G102" i="12"/>
  <c r="G101" i="12"/>
  <c r="H101" i="12" s="1"/>
  <c r="I101" i="12" s="1"/>
  <c r="I100" i="12"/>
  <c r="H100" i="12"/>
  <c r="G100" i="12"/>
  <c r="H99" i="12"/>
  <c r="I99" i="12" s="1"/>
  <c r="G99" i="12"/>
  <c r="I98" i="12"/>
  <c r="H98" i="12"/>
  <c r="G98" i="12"/>
  <c r="H97" i="12"/>
  <c r="I97" i="12" s="1"/>
  <c r="G97" i="12"/>
  <c r="G96" i="12"/>
  <c r="H96" i="12" s="1"/>
  <c r="I96" i="12" s="1"/>
  <c r="H95" i="12"/>
  <c r="I95" i="12" s="1"/>
  <c r="G95" i="12"/>
  <c r="G94" i="12"/>
  <c r="H94" i="12" s="1"/>
  <c r="I94" i="12" s="1"/>
  <c r="H93" i="12"/>
  <c r="I93" i="12" s="1"/>
  <c r="G93" i="12"/>
  <c r="G92" i="12"/>
  <c r="H92" i="12" s="1"/>
  <c r="I92" i="12" s="1"/>
  <c r="H91" i="12"/>
  <c r="I91" i="12" s="1"/>
  <c r="G91" i="12"/>
  <c r="G90" i="12"/>
  <c r="H90" i="12" s="1"/>
  <c r="I90" i="12" s="1"/>
  <c r="I89" i="12"/>
  <c r="G89" i="12"/>
  <c r="H89" i="12" s="1"/>
  <c r="G88" i="12"/>
  <c r="H88" i="12" s="1"/>
  <c r="I88" i="12" s="1"/>
  <c r="D87" i="12"/>
  <c r="K86" i="12"/>
  <c r="K85" i="12"/>
  <c r="K83" i="12" s="1"/>
  <c r="D83" i="12"/>
  <c r="D79" i="12"/>
  <c r="D78" i="12"/>
  <c r="D73" i="12"/>
  <c r="D66" i="12" s="1"/>
  <c r="D67" i="12"/>
  <c r="H65" i="12"/>
  <c r="I65" i="12" s="1"/>
  <c r="G65" i="12"/>
  <c r="G64" i="12"/>
  <c r="H64" i="12" s="1"/>
  <c r="I64" i="12" s="1"/>
  <c r="H63" i="12"/>
  <c r="I63" i="12" s="1"/>
  <c r="G63" i="12"/>
  <c r="D62" i="12"/>
  <c r="G61" i="12"/>
  <c r="H61" i="12" s="1"/>
  <c r="I61" i="12" s="1"/>
  <c r="H60" i="12"/>
  <c r="I60" i="12" s="1"/>
  <c r="G60" i="12"/>
  <c r="G59" i="12"/>
  <c r="H59" i="12" s="1"/>
  <c r="I59" i="12" s="1"/>
  <c r="G58" i="12"/>
  <c r="H58" i="12" s="1"/>
  <c r="I58" i="12" s="1"/>
  <c r="I57" i="12"/>
  <c r="G57" i="12"/>
  <c r="H57" i="12" s="1"/>
  <c r="G56" i="12"/>
  <c r="H56" i="12" s="1"/>
  <c r="I56" i="12" s="1"/>
  <c r="I55" i="12"/>
  <c r="G55" i="12"/>
  <c r="H55" i="12" s="1"/>
  <c r="F54" i="12"/>
  <c r="D54" i="12"/>
  <c r="G53" i="12"/>
  <c r="H53" i="12" s="1"/>
  <c r="I53" i="12" s="1"/>
  <c r="G52" i="12"/>
  <c r="H52" i="12" s="1"/>
  <c r="I52" i="12" s="1"/>
  <c r="D51" i="12"/>
  <c r="I50" i="12"/>
  <c r="H50" i="12"/>
  <c r="G50" i="12"/>
  <c r="H49" i="12"/>
  <c r="I49" i="12" s="1"/>
  <c r="G49" i="12"/>
  <c r="D48" i="12"/>
  <c r="I46" i="12"/>
  <c r="G46" i="12"/>
  <c r="H46" i="12" s="1"/>
  <c r="G45" i="12"/>
  <c r="H45" i="12" s="1"/>
  <c r="I45" i="12" s="1"/>
  <c r="G44" i="12"/>
  <c r="H44" i="12" s="1"/>
  <c r="I44" i="12" s="1"/>
  <c r="G43" i="12"/>
  <c r="H43" i="12" s="1"/>
  <c r="I43" i="12" s="1"/>
  <c r="G42" i="12"/>
  <c r="H42" i="12" s="1"/>
  <c r="I42" i="12" s="1"/>
  <c r="D41" i="12"/>
  <c r="H40" i="12"/>
  <c r="I40" i="12" s="1"/>
  <c r="G40" i="12"/>
  <c r="G39" i="12"/>
  <c r="H39" i="12" s="1"/>
  <c r="I39" i="12" s="1"/>
  <c r="G38" i="12"/>
  <c r="H38" i="12" s="1"/>
  <c r="I38" i="12" s="1"/>
  <c r="D38" i="12"/>
  <c r="G37" i="12"/>
  <c r="H37" i="12" s="1"/>
  <c r="I37" i="12" s="1"/>
  <c r="D36" i="12"/>
  <c r="H35" i="12"/>
  <c r="I35" i="12" s="1"/>
  <c r="G35" i="12"/>
  <c r="G34" i="12"/>
  <c r="H34" i="12" s="1"/>
  <c r="I34" i="12" s="1"/>
  <c r="G33" i="12"/>
  <c r="H33" i="12" s="1"/>
  <c r="I33" i="12" s="1"/>
  <c r="G32" i="12"/>
  <c r="H32" i="12" s="1"/>
  <c r="I32" i="12" s="1"/>
  <c r="H31" i="12"/>
  <c r="I31" i="12" s="1"/>
  <c r="G31" i="12"/>
  <c r="G30" i="12"/>
  <c r="H30" i="12" s="1"/>
  <c r="I30" i="12" s="1"/>
  <c r="H29" i="12"/>
  <c r="I29" i="12" s="1"/>
  <c r="G29" i="12"/>
  <c r="I28" i="12"/>
  <c r="G28" i="12"/>
  <c r="H28" i="12" s="1"/>
  <c r="H27" i="12"/>
  <c r="I27" i="12" s="1"/>
  <c r="G27" i="12"/>
  <c r="I26" i="12"/>
  <c r="H26" i="12"/>
  <c r="G26" i="12"/>
  <c r="H25" i="12"/>
  <c r="I25" i="12" s="1"/>
  <c r="G25" i="12"/>
  <c r="G24" i="12"/>
  <c r="H24" i="12" s="1"/>
  <c r="I24" i="12" s="1"/>
  <c r="I23" i="12"/>
  <c r="H23" i="12"/>
  <c r="G23" i="12"/>
  <c r="H22" i="12"/>
  <c r="I22" i="12" s="1"/>
  <c r="G22" i="12"/>
  <c r="G21" i="12"/>
  <c r="H21" i="12" s="1"/>
  <c r="I21" i="12" s="1"/>
  <c r="G20" i="12"/>
  <c r="H20" i="12" s="1"/>
  <c r="I20" i="12" s="1"/>
  <c r="H19" i="12"/>
  <c r="I19" i="12" s="1"/>
  <c r="G19" i="12"/>
  <c r="H18" i="12"/>
  <c r="I18" i="12" s="1"/>
  <c r="G18" i="12"/>
  <c r="G17" i="12"/>
  <c r="H17" i="12" s="1"/>
  <c r="I17" i="12" s="1"/>
  <c r="G16" i="12"/>
  <c r="H16" i="12" s="1"/>
  <c r="I16" i="12" s="1"/>
  <c r="I15" i="12"/>
  <c r="H15" i="12"/>
  <c r="G15" i="12"/>
  <c r="D14" i="12"/>
  <c r="H13" i="12"/>
  <c r="I13" i="12" s="1"/>
  <c r="G13" i="12"/>
  <c r="G12" i="12"/>
  <c r="H12" i="12" s="1"/>
  <c r="I12" i="12" s="1"/>
  <c r="G11" i="12"/>
  <c r="H11" i="12" s="1"/>
  <c r="I11" i="12" s="1"/>
  <c r="H10" i="12"/>
  <c r="I10" i="12" s="1"/>
  <c r="G10" i="12"/>
  <c r="G9" i="12"/>
  <c r="H9" i="12" s="1"/>
  <c r="I9" i="12" s="1"/>
  <c r="G8" i="12"/>
  <c r="H8" i="12" s="1"/>
  <c r="I8" i="12" s="1"/>
  <c r="D8" i="12"/>
  <c r="D7" i="12" s="1"/>
  <c r="K7" i="12"/>
  <c r="H7" i="12"/>
  <c r="I7" i="12" s="1"/>
  <c r="G7" i="12"/>
  <c r="K6" i="12"/>
  <c r="K4" i="12"/>
  <c r="K3" i="12" s="1"/>
  <c r="D4" i="12"/>
  <c r="D3" i="12"/>
  <c r="E327" i="12" s="1"/>
  <c r="E8" i="12" l="1"/>
  <c r="E41" i="12"/>
  <c r="E110" i="12"/>
  <c r="E15" i="12"/>
  <c r="E56" i="12"/>
  <c r="E133" i="12"/>
  <c r="E81" i="12"/>
  <c r="E169" i="12"/>
  <c r="E152" i="12"/>
  <c r="E161" i="12"/>
  <c r="E279" i="12"/>
  <c r="E35" i="12"/>
  <c r="E57" i="12"/>
  <c r="E126" i="12"/>
  <c r="E134" i="12"/>
  <c r="H141" i="12"/>
  <c r="E155" i="12"/>
  <c r="E221" i="12"/>
  <c r="E311" i="12"/>
  <c r="E337" i="12"/>
  <c r="E173" i="12"/>
  <c r="E361" i="12"/>
  <c r="E4" i="12"/>
  <c r="E16" i="12"/>
  <c r="E142" i="12"/>
  <c r="E163" i="12"/>
  <c r="E174" i="12"/>
  <c r="E205" i="12"/>
  <c r="E212" i="12"/>
  <c r="E232" i="12"/>
  <c r="G36" i="12"/>
  <c r="H36" i="12" s="1"/>
  <c r="I36" i="12" s="1"/>
  <c r="E36" i="12"/>
  <c r="E398" i="12"/>
  <c r="E394" i="12"/>
  <c r="E390" i="12"/>
  <c r="E386" i="12"/>
  <c r="E367" i="12"/>
  <c r="E363" i="12"/>
  <c r="E359" i="12"/>
  <c r="E355" i="12"/>
  <c r="E351" i="12"/>
  <c r="E308" i="12"/>
  <c r="E292" i="12"/>
  <c r="E269" i="12"/>
  <c r="E265" i="12"/>
  <c r="E250" i="12"/>
  <c r="E235" i="12"/>
  <c r="E231" i="12"/>
  <c r="E227" i="12"/>
  <c r="E223" i="12"/>
  <c r="E219" i="12"/>
  <c r="E215" i="12"/>
  <c r="E211" i="12"/>
  <c r="E181" i="12"/>
  <c r="E132" i="12"/>
  <c r="E124" i="12"/>
  <c r="E120" i="12"/>
  <c r="E116" i="12"/>
  <c r="E112" i="12"/>
  <c r="E108" i="12"/>
  <c r="E40" i="12"/>
  <c r="E382" i="12"/>
  <c r="E378" i="12"/>
  <c r="E307" i="12"/>
  <c r="E291" i="12"/>
  <c r="E284" i="12"/>
  <c r="E200" i="12"/>
  <c r="E196" i="12"/>
  <c r="E192" i="12"/>
  <c r="E150" i="12"/>
  <c r="E406" i="12"/>
  <c r="E347" i="12"/>
  <c r="E343" i="12"/>
  <c r="E339" i="12"/>
  <c r="E335" i="12"/>
  <c r="E321" i="12"/>
  <c r="E306" i="12"/>
  <c r="E297" i="12"/>
  <c r="E261" i="12"/>
  <c r="E246" i="12"/>
  <c r="E207" i="12"/>
  <c r="E153" i="12"/>
  <c r="E104" i="12"/>
  <c r="E100" i="12"/>
  <c r="E96" i="12"/>
  <c r="E92" i="12"/>
  <c r="E88" i="12"/>
  <c r="E405" i="12"/>
  <c r="E389" i="12"/>
  <c r="E370" i="12"/>
  <c r="E320" i="12"/>
  <c r="E305" i="12"/>
  <c r="E280" i="12"/>
  <c r="E276" i="12"/>
  <c r="E272" i="12"/>
  <c r="E253" i="12"/>
  <c r="E242" i="12"/>
  <c r="E401" i="12"/>
  <c r="E397" i="12"/>
  <c r="E393" i="12"/>
  <c r="E385" i="12"/>
  <c r="E366" i="12"/>
  <c r="E362" i="12"/>
  <c r="E358" i="12"/>
  <c r="E354" i="12"/>
  <c r="E350" i="12"/>
  <c r="E319" i="12"/>
  <c r="E287" i="12"/>
  <c r="E268" i="12"/>
  <c r="E264" i="12"/>
  <c r="E238" i="12"/>
  <c r="E234" i="12"/>
  <c r="E230" i="12"/>
  <c r="E226" i="12"/>
  <c r="E222" i="12"/>
  <c r="E218" i="12"/>
  <c r="E214" i="12"/>
  <c r="E210" i="12"/>
  <c r="E318" i="12"/>
  <c r="E199" i="12"/>
  <c r="E195" i="12"/>
  <c r="E191" i="12"/>
  <c r="E178" i="12"/>
  <c r="E149" i="12"/>
  <c r="E76" i="12"/>
  <c r="E377" i="12"/>
  <c r="E346" i="12"/>
  <c r="E342" i="12"/>
  <c r="E338" i="12"/>
  <c r="E330" i="12"/>
  <c r="E317" i="12"/>
  <c r="E300" i="12"/>
  <c r="E296" i="12"/>
  <c r="E403" i="12"/>
  <c r="E372" i="12"/>
  <c r="E326" i="12"/>
  <c r="E312" i="12"/>
  <c r="E282" i="12"/>
  <c r="E278" i="12"/>
  <c r="E274" i="12"/>
  <c r="E255" i="12"/>
  <c r="E240" i="12"/>
  <c r="E399" i="12"/>
  <c r="E392" i="12"/>
  <c r="E375" i="12"/>
  <c r="E324" i="12"/>
  <c r="E259" i="12"/>
  <c r="E237" i="12"/>
  <c r="E220" i="12"/>
  <c r="E177" i="12"/>
  <c r="E157" i="12"/>
  <c r="E144" i="12"/>
  <c r="E67" i="12"/>
  <c r="E44" i="12"/>
  <c r="E39" i="12"/>
  <c r="E26" i="12"/>
  <c r="E22" i="12"/>
  <c r="E18" i="12"/>
  <c r="E10" i="12"/>
  <c r="E379" i="12"/>
  <c r="E356" i="12"/>
  <c r="E345" i="12"/>
  <c r="E340" i="12"/>
  <c r="E285" i="12"/>
  <c r="E263" i="12"/>
  <c r="E252" i="12"/>
  <c r="E247" i="12"/>
  <c r="E213" i="12"/>
  <c r="E193" i="12"/>
  <c r="E175" i="12"/>
  <c r="E166" i="12"/>
  <c r="E156" i="12"/>
  <c r="E119" i="12"/>
  <c r="E404" i="12"/>
  <c r="E303" i="12"/>
  <c r="E290" i="12"/>
  <c r="E225" i="12"/>
  <c r="E204" i="12"/>
  <c r="E176" i="12"/>
  <c r="E148" i="12"/>
  <c r="E135" i="12"/>
  <c r="E114" i="12"/>
  <c r="E109" i="12"/>
  <c r="E91" i="12"/>
  <c r="E344" i="12"/>
  <c r="E314" i="12"/>
  <c r="E289" i="12"/>
  <c r="E273" i="12"/>
  <c r="E224" i="12"/>
  <c r="E202" i="12"/>
  <c r="E160" i="12"/>
  <c r="E118" i="12"/>
  <c r="E113" i="12"/>
  <c r="E99" i="12"/>
  <c r="E90" i="12"/>
  <c r="E65" i="12"/>
  <c r="E42" i="12"/>
  <c r="E25" i="12"/>
  <c r="E21" i="12"/>
  <c r="E17" i="12"/>
  <c r="E9" i="12"/>
  <c r="E396" i="12"/>
  <c r="E325" i="12"/>
  <c r="E288" i="12"/>
  <c r="E172" i="12"/>
  <c r="E107" i="12"/>
  <c r="E103" i="12"/>
  <c r="E45" i="12"/>
  <c r="E34" i="12"/>
  <c r="E20" i="12"/>
  <c r="E11" i="12"/>
  <c r="E368" i="12"/>
  <c r="E353" i="12"/>
  <c r="E336" i="12"/>
  <c r="E239" i="12"/>
  <c r="E217" i="12"/>
  <c r="E194" i="12"/>
  <c r="E171" i="12"/>
  <c r="E93" i="12"/>
  <c r="E55" i="12"/>
  <c r="E50" i="12"/>
  <c r="E29" i="12"/>
  <c r="E256" i="12"/>
  <c r="E98" i="12"/>
  <c r="E395" i="12"/>
  <c r="E387" i="12"/>
  <c r="E380" i="12"/>
  <c r="E360" i="12"/>
  <c r="E316" i="12"/>
  <c r="E373" i="12"/>
  <c r="E341" i="12"/>
  <c r="E315" i="12"/>
  <c r="E244" i="12"/>
  <c r="E402" i="12"/>
  <c r="E313" i="12"/>
  <c r="E141" i="12"/>
  <c r="E102" i="12"/>
  <c r="E54" i="12"/>
  <c r="E28" i="12"/>
  <c r="E19" i="12"/>
  <c r="E365" i="12"/>
  <c r="E294" i="12"/>
  <c r="E243" i="12"/>
  <c r="E162" i="12"/>
  <c r="E129" i="12"/>
  <c r="E77" i="12"/>
  <c r="E32" i="12"/>
  <c r="E23" i="12"/>
  <c r="E299" i="12"/>
  <c r="E286" i="12"/>
  <c r="E229" i="12"/>
  <c r="E184" i="12"/>
  <c r="E123" i="12"/>
  <c r="E75" i="12"/>
  <c r="E59" i="12"/>
  <c r="E37" i="12"/>
  <c r="E357" i="12"/>
  <c r="E309" i="12"/>
  <c r="E248" i="12"/>
  <c r="E236" i="12"/>
  <c r="E352" i="12"/>
  <c r="E281" i="12"/>
  <c r="E267" i="12"/>
  <c r="E216" i="12"/>
  <c r="E209" i="12"/>
  <c r="E198" i="12"/>
  <c r="E146" i="12"/>
  <c r="E97" i="12"/>
  <c r="E49" i="12"/>
  <c r="E43" i="12"/>
  <c r="E136" i="12"/>
  <c r="E111" i="12"/>
  <c r="E310" i="12"/>
  <c r="E293" i="12"/>
  <c r="E64" i="12"/>
  <c r="E400" i="12"/>
  <c r="E266" i="12"/>
  <c r="E304" i="12"/>
  <c r="E271" i="12"/>
  <c r="E241" i="12"/>
  <c r="E228" i="12"/>
  <c r="E139" i="12"/>
  <c r="E127" i="12"/>
  <c r="E72" i="12"/>
  <c r="E63" i="12"/>
  <c r="E52" i="12"/>
  <c r="G41" i="12"/>
  <c r="H41" i="12" s="1"/>
  <c r="I41" i="12" s="1"/>
  <c r="E170" i="12"/>
  <c r="E197" i="12"/>
  <c r="E58" i="12"/>
  <c r="E298" i="12"/>
  <c r="E328" i="12"/>
  <c r="E121" i="12"/>
  <c r="E164" i="12"/>
  <c r="E70" i="12"/>
  <c r="E137" i="12"/>
  <c r="E165" i="12"/>
  <c r="E233" i="12"/>
  <c r="E30" i="12"/>
  <c r="E53" i="12"/>
  <c r="E71" i="12"/>
  <c r="E122" i="12"/>
  <c r="E158" i="12"/>
  <c r="G165" i="12"/>
  <c r="H165" i="12" s="1"/>
  <c r="I165" i="12" s="1"/>
  <c r="E186" i="12"/>
  <c r="E260" i="12"/>
  <c r="G283" i="12"/>
  <c r="H283" i="12" s="1"/>
  <c r="I283" i="12" s="1"/>
  <c r="E38" i="12"/>
  <c r="E66" i="12"/>
  <c r="G87" i="12"/>
  <c r="H87" i="12" s="1"/>
  <c r="I87" i="12" s="1"/>
  <c r="D86" i="12"/>
  <c r="E94" i="12"/>
  <c r="E130" i="12"/>
  <c r="E277" i="12"/>
  <c r="E283" i="12"/>
  <c r="E383" i="12"/>
  <c r="E13" i="12"/>
  <c r="E31" i="12"/>
  <c r="E46" i="12"/>
  <c r="E61" i="12"/>
  <c r="E73" i="12"/>
  <c r="E87" i="12"/>
  <c r="E101" i="12"/>
  <c r="E131" i="12"/>
  <c r="E138" i="12"/>
  <c r="E145" i="12"/>
  <c r="E201" i="12"/>
  <c r="E391" i="12"/>
  <c r="E27" i="12"/>
  <c r="E371" i="12"/>
  <c r="D189" i="12"/>
  <c r="E190" i="12"/>
  <c r="E143" i="12"/>
  <c r="E106" i="12"/>
  <c r="E381" i="12"/>
  <c r="E115" i="12"/>
  <c r="G54" i="12"/>
  <c r="G62" i="12"/>
  <c r="H62" i="12" s="1"/>
  <c r="I62" i="12" s="1"/>
  <c r="E62" i="12"/>
  <c r="E270" i="12"/>
  <c r="E384" i="12"/>
  <c r="E83" i="12"/>
  <c r="E369" i="12"/>
  <c r="E68" i="12"/>
  <c r="H304" i="12"/>
  <c r="I304" i="12" s="1"/>
  <c r="G302" i="12"/>
  <c r="G301" i="12" s="1"/>
  <c r="G190" i="12"/>
  <c r="E105" i="12"/>
  <c r="E179" i="12"/>
  <c r="E258" i="12"/>
  <c r="G51" i="12"/>
  <c r="H51" i="12" s="1"/>
  <c r="I51" i="12" s="1"/>
  <c r="E51" i="12"/>
  <c r="E128" i="12"/>
  <c r="E180" i="12"/>
  <c r="E69" i="12"/>
  <c r="E182" i="12"/>
  <c r="E206" i="12"/>
  <c r="E275" i="12"/>
  <c r="E364" i="12"/>
  <c r="E388" i="12"/>
  <c r="E12" i="12"/>
  <c r="E24" i="12"/>
  <c r="E60" i="12"/>
  <c r="G152" i="12"/>
  <c r="D151" i="12"/>
  <c r="E151" i="12" s="1"/>
  <c r="E183" i="12"/>
  <c r="E251" i="12"/>
  <c r="E74" i="12"/>
  <c r="E95" i="12"/>
  <c r="E159" i="12"/>
  <c r="E167" i="12"/>
  <c r="E295" i="12"/>
  <c r="E302" i="12"/>
  <c r="E348" i="12"/>
  <c r="E376" i="12"/>
  <c r="E89" i="12"/>
  <c r="E117" i="12"/>
  <c r="E154" i="12"/>
  <c r="E245" i="12"/>
  <c r="E349" i="12"/>
  <c r="E33" i="12"/>
  <c r="G48" i="12"/>
  <c r="D47" i="12"/>
  <c r="E47" i="12" s="1"/>
  <c r="E48" i="12"/>
  <c r="E80" i="12"/>
  <c r="E125" i="12"/>
  <c r="E140" i="12"/>
  <c r="E147" i="12"/>
  <c r="E203" i="12"/>
  <c r="E254" i="12"/>
  <c r="D6" i="12"/>
  <c r="G382" i="12"/>
  <c r="G381" i="12" s="1"/>
  <c r="H383" i="12"/>
  <c r="G389" i="12"/>
  <c r="F389" i="12" s="1"/>
  <c r="H390" i="12"/>
  <c r="I390" i="12" s="1"/>
  <c r="G334" i="12"/>
  <c r="H334" i="12" s="1"/>
  <c r="I334" i="12" s="1"/>
  <c r="E334" i="12"/>
  <c r="D333" i="12"/>
  <c r="G14" i="12"/>
  <c r="E14" i="12"/>
  <c r="E79" i="12"/>
  <c r="G249" i="12"/>
  <c r="H249" i="12" s="1"/>
  <c r="I249" i="12" s="1"/>
  <c r="E249" i="12"/>
  <c r="E7" i="12"/>
  <c r="H54" i="12"/>
  <c r="I54" i="12" s="1"/>
  <c r="D301" i="12"/>
  <c r="E301" i="12" s="1"/>
  <c r="E78" i="12"/>
  <c r="E168" i="12"/>
  <c r="E208" i="12"/>
  <c r="E323" i="12"/>
  <c r="E322" i="12"/>
  <c r="E257" i="12"/>
  <c r="E374" i="12"/>
  <c r="E3" i="12" l="1"/>
  <c r="D85" i="12"/>
  <c r="G86" i="12"/>
  <c r="E86" i="12"/>
  <c r="D262" i="12"/>
  <c r="E262" i="12" s="1"/>
  <c r="H14" i="12"/>
  <c r="I14" i="12" s="1"/>
  <c r="G6" i="12"/>
  <c r="E6" i="12"/>
  <c r="D5" i="12"/>
  <c r="I141" i="12"/>
  <c r="H140" i="12"/>
  <c r="I140" i="12" s="1"/>
  <c r="H152" i="12"/>
  <c r="I152" i="12" s="1"/>
  <c r="G151" i="12"/>
  <c r="F151" i="12" s="1"/>
  <c r="G262" i="12"/>
  <c r="D188" i="12"/>
  <c r="E189" i="12"/>
  <c r="G333" i="12"/>
  <c r="G332" i="12" s="1"/>
  <c r="G331" i="12" s="1"/>
  <c r="G330" i="12" s="1"/>
  <c r="F330" i="12" s="1"/>
  <c r="E333" i="12"/>
  <c r="D332" i="12"/>
  <c r="G47" i="12"/>
  <c r="F47" i="12" s="1"/>
  <c r="H48" i="12"/>
  <c r="I48" i="12" s="1"/>
  <c r="G189" i="12"/>
  <c r="G188" i="12" s="1"/>
  <c r="G187" i="12" s="1"/>
  <c r="H190" i="12"/>
  <c r="I190" i="12" s="1"/>
  <c r="I383" i="12"/>
  <c r="H382" i="12"/>
  <c r="I382" i="12" s="1"/>
  <c r="E188" i="12" l="1"/>
  <c r="D187" i="12"/>
  <c r="G5" i="12"/>
  <c r="F6" i="12"/>
  <c r="E5" i="12"/>
  <c r="D82" i="12"/>
  <c r="E82" i="12" s="1"/>
  <c r="D331" i="12"/>
  <c r="E332" i="12"/>
  <c r="H86" i="12"/>
  <c r="I86" i="12" s="1"/>
  <c r="G85" i="12"/>
  <c r="G186" i="12"/>
  <c r="F186" i="12" s="1"/>
  <c r="E85" i="12"/>
  <c r="D84" i="12"/>
  <c r="E84" i="12" l="1"/>
  <c r="D185" i="12"/>
  <c r="E185" i="12" s="1"/>
  <c r="F85" i="12"/>
  <c r="G84" i="12"/>
  <c r="D407" i="12"/>
  <c r="E407" i="12" s="1"/>
  <c r="E331" i="12"/>
  <c r="G4" i="12"/>
  <c r="F5" i="12"/>
  <c r="E187" i="12"/>
  <c r="D329" i="12"/>
  <c r="E329" i="12" s="1"/>
  <c r="F4" i="12" l="1"/>
  <c r="F84" i="12"/>
  <c r="G83" i="12"/>
  <c r="F83" i="12" s="1"/>
  <c r="G3" i="12" l="1"/>
  <c r="F3" i="12" s="1"/>
  <c r="E86" i="11" l="1"/>
  <c r="F86" i="11" s="1"/>
  <c r="E79" i="11"/>
  <c r="F79" i="11" s="1"/>
  <c r="E73" i="11"/>
  <c r="F73" i="11" s="1"/>
  <c r="E68" i="11"/>
  <c r="F68" i="11" s="1"/>
  <c r="E63" i="11"/>
  <c r="F63" i="11" s="1"/>
  <c r="E57" i="11"/>
  <c r="F57" i="11" s="1"/>
  <c r="E54" i="11"/>
  <c r="F54" i="11" s="1"/>
  <c r="E49" i="11"/>
  <c r="F49" i="11" s="1"/>
  <c r="E41" i="11"/>
  <c r="F41" i="11" s="1"/>
  <c r="E38" i="11"/>
  <c r="F38" i="11" s="1"/>
  <c r="E36" i="11"/>
  <c r="F36" i="11" s="1"/>
  <c r="E14" i="11"/>
  <c r="F14" i="11" s="1"/>
  <c r="E8" i="11"/>
  <c r="F8" i="11" s="1"/>
  <c r="E4" i="11"/>
  <c r="F4" i="11" s="1"/>
  <c r="D63" i="4"/>
  <c r="G65" i="4"/>
  <c r="H65" i="4" s="1"/>
  <c r="I65" i="4" s="1"/>
  <c r="G64" i="4"/>
  <c r="H64" i="4" s="1"/>
  <c r="I64" i="4" s="1"/>
  <c r="G66" i="4"/>
  <c r="H66" i="4" s="1"/>
  <c r="I66" i="4" s="1"/>
  <c r="G52" i="4"/>
  <c r="H52" i="4" s="1"/>
  <c r="I52" i="4" s="1"/>
  <c r="G51" i="4"/>
  <c r="H51" i="4" s="1"/>
  <c r="I51" i="4" s="1"/>
  <c r="G47" i="4"/>
  <c r="H47" i="4" s="1"/>
  <c r="I47" i="4" s="1"/>
  <c r="G46" i="4"/>
  <c r="H46" i="4" s="1"/>
  <c r="I46" i="4" s="1"/>
  <c r="G408" i="4"/>
  <c r="H408" i="4" s="1"/>
  <c r="I408" i="4" s="1"/>
  <c r="D389" i="4"/>
  <c r="G390" i="4"/>
  <c r="H390" i="4" s="1"/>
  <c r="I390" i="4" s="1"/>
  <c r="G391" i="4"/>
  <c r="H391" i="4" s="1"/>
  <c r="I391" i="4" s="1"/>
  <c r="G407" i="4"/>
  <c r="H407" i="4" s="1"/>
  <c r="I407" i="4" s="1"/>
  <c r="D396" i="4"/>
  <c r="E85" i="11" l="1"/>
  <c r="F85" i="11" s="1"/>
  <c r="E72" i="11"/>
  <c r="F72" i="11" s="1"/>
  <c r="E7" i="11"/>
  <c r="F7" i="11" s="1"/>
  <c r="H389" i="4"/>
  <c r="I389" i="4" s="1"/>
  <c r="G389" i="4"/>
  <c r="D165" i="4"/>
  <c r="G170" i="4"/>
  <c r="H170" i="4" s="1"/>
  <c r="I170" i="4" s="1"/>
  <c r="G397" i="4"/>
  <c r="M11" i="4"/>
  <c r="E48" i="11" l="1"/>
  <c r="F48" i="11" s="1"/>
  <c r="E6" i="11"/>
  <c r="H397" i="4"/>
  <c r="I397" i="4" s="1"/>
  <c r="G358" i="4"/>
  <c r="H358" i="4" s="1"/>
  <c r="I358" i="4" s="1"/>
  <c r="G359" i="4"/>
  <c r="H359" i="4" s="1"/>
  <c r="I359" i="4" s="1"/>
  <c r="D357" i="4"/>
  <c r="D341" i="4"/>
  <c r="G342" i="4"/>
  <c r="H342" i="4" s="1"/>
  <c r="I342" i="4" s="1"/>
  <c r="D312" i="4"/>
  <c r="D298" i="4"/>
  <c r="E123" i="11" s="1"/>
  <c r="F123" i="11" s="1"/>
  <c r="D294" i="4"/>
  <c r="G297" i="4"/>
  <c r="H297" i="4" s="1"/>
  <c r="I297" i="4" s="1"/>
  <c r="D193" i="4"/>
  <c r="D90" i="4"/>
  <c r="D4" i="4"/>
  <c r="G287" i="4"/>
  <c r="H287" i="4" s="1"/>
  <c r="I287" i="4" s="1"/>
  <c r="D197" i="4"/>
  <c r="G253" i="4"/>
  <c r="H253" i="4" s="1"/>
  <c r="I253" i="4" s="1"/>
  <c r="E5" i="11" l="1"/>
  <c r="F6" i="11"/>
  <c r="D381" i="4"/>
  <c r="G381" i="4" s="1"/>
  <c r="H381" i="4" s="1"/>
  <c r="I381" i="4" s="1"/>
  <c r="G383" i="4"/>
  <c r="H383" i="4" s="1"/>
  <c r="I383" i="4" s="1"/>
  <c r="G384" i="4"/>
  <c r="H384" i="4" s="1"/>
  <c r="I384" i="4" s="1"/>
  <c r="E89" i="11" l="1"/>
  <c r="F89" i="11" s="1"/>
  <c r="G380" i="4" l="1"/>
  <c r="H380" i="4" s="1"/>
  <c r="I380" i="4" s="1"/>
  <c r="D409" i="4"/>
  <c r="G410" i="4"/>
  <c r="H410" i="4" s="1"/>
  <c r="I410" i="4" s="1"/>
  <c r="G411" i="4"/>
  <c r="H411" i="4" s="1"/>
  <c r="I411" i="4" s="1"/>
  <c r="G406" i="4"/>
  <c r="H406" i="4" s="1"/>
  <c r="I406" i="4" s="1"/>
  <c r="D392" i="4"/>
  <c r="G393" i="4"/>
  <c r="H393" i="4" s="1"/>
  <c r="I393" i="4" s="1"/>
  <c r="G394" i="4"/>
  <c r="H394" i="4" s="1"/>
  <c r="I394" i="4" s="1"/>
  <c r="G395" i="4"/>
  <c r="H395" i="4" s="1"/>
  <c r="I395" i="4" s="1"/>
  <c r="G398" i="4"/>
  <c r="G399" i="4"/>
  <c r="H399" i="4" s="1"/>
  <c r="I399" i="4" s="1"/>
  <c r="G400" i="4"/>
  <c r="H400" i="4" s="1"/>
  <c r="I400" i="4" s="1"/>
  <c r="G401" i="4"/>
  <c r="H401" i="4" s="1"/>
  <c r="I401" i="4" s="1"/>
  <c r="G402" i="4"/>
  <c r="H402" i="4" s="1"/>
  <c r="I402" i="4" s="1"/>
  <c r="G403" i="4"/>
  <c r="H403" i="4" s="1"/>
  <c r="I403" i="4" s="1"/>
  <c r="G404" i="4"/>
  <c r="H404" i="4" s="1"/>
  <c r="I404" i="4" s="1"/>
  <c r="G405" i="4"/>
  <c r="H405" i="4" s="1"/>
  <c r="I405" i="4" s="1"/>
  <c r="G379" i="4"/>
  <c r="H379" i="4" s="1"/>
  <c r="I379" i="4" s="1"/>
  <c r="H398" i="4" l="1"/>
  <c r="I398" i="4" s="1"/>
  <c r="G396" i="4"/>
  <c r="F396" i="4" s="1"/>
  <c r="G392" i="4"/>
  <c r="D388" i="4"/>
  <c r="G409" i="4"/>
  <c r="H409" i="4" s="1"/>
  <c r="I409" i="4" s="1"/>
  <c r="D385" i="4"/>
  <c r="G385" i="4" s="1"/>
  <c r="H385" i="4" s="1"/>
  <c r="I385" i="4" s="1"/>
  <c r="G386" i="4"/>
  <c r="H386" i="4" s="1"/>
  <c r="I386" i="4" s="1"/>
  <c r="G387" i="4"/>
  <c r="H387" i="4" s="1"/>
  <c r="I387" i="4" s="1"/>
  <c r="G382" i="4"/>
  <c r="H382" i="4" s="1"/>
  <c r="I382" i="4" s="1"/>
  <c r="D376" i="4"/>
  <c r="G376" i="4" s="1"/>
  <c r="H376" i="4" s="1"/>
  <c r="I376" i="4" s="1"/>
  <c r="G377" i="4"/>
  <c r="H377" i="4" s="1"/>
  <c r="I377" i="4" s="1"/>
  <c r="G378" i="4"/>
  <c r="H378" i="4" s="1"/>
  <c r="I378" i="4" s="1"/>
  <c r="L4" i="4"/>
  <c r="N343" i="4"/>
  <c r="M351" i="4"/>
  <c r="M349" i="4"/>
  <c r="G364" i="4"/>
  <c r="H364" i="4" s="1"/>
  <c r="I364" i="4" s="1"/>
  <c r="M347" i="4"/>
  <c r="M345" i="4"/>
  <c r="G357" i="4"/>
  <c r="H357" i="4" s="1"/>
  <c r="I357" i="4" s="1"/>
  <c r="G374" i="4"/>
  <c r="H374" i="4" s="1"/>
  <c r="I374" i="4" s="1"/>
  <c r="G375" i="4"/>
  <c r="H375" i="4" s="1"/>
  <c r="I375" i="4" s="1"/>
  <c r="G360" i="4"/>
  <c r="H360" i="4" s="1"/>
  <c r="I360" i="4" s="1"/>
  <c r="G361" i="4"/>
  <c r="H361" i="4" s="1"/>
  <c r="I361" i="4" s="1"/>
  <c r="G362" i="4"/>
  <c r="H362" i="4" s="1"/>
  <c r="I362" i="4" s="1"/>
  <c r="G363" i="4"/>
  <c r="H363" i="4" s="1"/>
  <c r="I363" i="4" s="1"/>
  <c r="G365" i="4"/>
  <c r="H365" i="4" s="1"/>
  <c r="I365" i="4" s="1"/>
  <c r="G366" i="4"/>
  <c r="H366" i="4" s="1"/>
  <c r="I366" i="4" s="1"/>
  <c r="G367" i="4"/>
  <c r="H367" i="4" s="1"/>
  <c r="I367" i="4" s="1"/>
  <c r="G368" i="4"/>
  <c r="H368" i="4" s="1"/>
  <c r="I368" i="4" s="1"/>
  <c r="G369" i="4"/>
  <c r="H369" i="4" s="1"/>
  <c r="I369" i="4" s="1"/>
  <c r="G370" i="4"/>
  <c r="H370" i="4" s="1"/>
  <c r="I370" i="4" s="1"/>
  <c r="G371" i="4"/>
  <c r="H371" i="4" s="1"/>
  <c r="I371" i="4" s="1"/>
  <c r="G372" i="4"/>
  <c r="H372" i="4" s="1"/>
  <c r="I372" i="4" s="1"/>
  <c r="G373" i="4"/>
  <c r="H373" i="4" s="1"/>
  <c r="I373" i="4" s="1"/>
  <c r="G341" i="4"/>
  <c r="D355" i="4"/>
  <c r="G355" i="4" s="1"/>
  <c r="H355" i="4" s="1"/>
  <c r="I355" i="4" s="1"/>
  <c r="G356" i="4"/>
  <c r="H356" i="4" s="1"/>
  <c r="I356" i="4" s="1"/>
  <c r="G344" i="4"/>
  <c r="H344" i="4" s="1"/>
  <c r="I344" i="4" s="1"/>
  <c r="G345" i="4"/>
  <c r="H345" i="4" s="1"/>
  <c r="I345" i="4" s="1"/>
  <c r="G346" i="4"/>
  <c r="H346" i="4" s="1"/>
  <c r="I346" i="4" s="1"/>
  <c r="G347" i="4"/>
  <c r="H347" i="4" s="1"/>
  <c r="I347" i="4" s="1"/>
  <c r="G348" i="4"/>
  <c r="H348" i="4" s="1"/>
  <c r="I348" i="4" s="1"/>
  <c r="G349" i="4"/>
  <c r="H349" i="4" s="1"/>
  <c r="I349" i="4" s="1"/>
  <c r="G350" i="4"/>
  <c r="H350" i="4" s="1"/>
  <c r="I350" i="4" s="1"/>
  <c r="G351" i="4"/>
  <c r="H351" i="4" s="1"/>
  <c r="I351" i="4" s="1"/>
  <c r="G352" i="4"/>
  <c r="H352" i="4" s="1"/>
  <c r="I352" i="4" s="1"/>
  <c r="G353" i="4"/>
  <c r="H353" i="4" s="1"/>
  <c r="I353" i="4" s="1"/>
  <c r="G354" i="4"/>
  <c r="H354" i="4" s="1"/>
  <c r="I354" i="4" s="1"/>
  <c r="H392" i="4" l="1"/>
  <c r="I392" i="4" s="1"/>
  <c r="G388" i="4"/>
  <c r="M343" i="4"/>
  <c r="D340" i="4"/>
  <c r="D339" i="4" s="1"/>
  <c r="H341" i="4"/>
  <c r="I341" i="4" s="1"/>
  <c r="G343" i="4"/>
  <c r="H343" i="4" s="1"/>
  <c r="I343" i="4" s="1"/>
  <c r="D215" i="4"/>
  <c r="O27" i="4" s="1"/>
  <c r="P27" i="4" s="1"/>
  <c r="G245" i="4"/>
  <c r="H245" i="4" s="1"/>
  <c r="I245" i="4" s="1"/>
  <c r="D260" i="4"/>
  <c r="G263" i="4"/>
  <c r="H263" i="4" s="1"/>
  <c r="I263" i="4" s="1"/>
  <c r="D68" i="4"/>
  <c r="G71" i="4"/>
  <c r="H71" i="4" s="1"/>
  <c r="I71" i="4" s="1"/>
  <c r="G70" i="4"/>
  <c r="H70" i="4" s="1"/>
  <c r="I70" i="4" s="1"/>
  <c r="G69" i="4"/>
  <c r="H69" i="4" s="1"/>
  <c r="I69" i="4" s="1"/>
  <c r="D73" i="4"/>
  <c r="D143" i="4"/>
  <c r="G143" i="4" s="1"/>
  <c r="G146" i="4"/>
  <c r="H146" i="4" s="1"/>
  <c r="I146" i="4" s="1"/>
  <c r="G145" i="4"/>
  <c r="H145" i="4" s="1"/>
  <c r="I145" i="4" s="1"/>
  <c r="G144" i="4"/>
  <c r="H144" i="4" s="1"/>
  <c r="I144" i="4" s="1"/>
  <c r="D38" i="4"/>
  <c r="G40" i="4"/>
  <c r="H40" i="4" s="1"/>
  <c r="I40" i="4" s="1"/>
  <c r="G39" i="4"/>
  <c r="H39" i="4" s="1"/>
  <c r="I39" i="4" s="1"/>
  <c r="D14" i="4"/>
  <c r="O25" i="4" s="1"/>
  <c r="P25" i="4" s="1"/>
  <c r="G33" i="4"/>
  <c r="H33" i="4" s="1"/>
  <c r="I33" i="4" s="1"/>
  <c r="G34" i="4"/>
  <c r="H34" i="4" s="1"/>
  <c r="I34" i="4" s="1"/>
  <c r="G18" i="4"/>
  <c r="H18" i="4" s="1"/>
  <c r="I18" i="4" s="1"/>
  <c r="G17" i="4"/>
  <c r="H17" i="4" s="1"/>
  <c r="I17" i="4" s="1"/>
  <c r="G16" i="4"/>
  <c r="H16" i="4" s="1"/>
  <c r="I16" i="4" s="1"/>
  <c r="G15" i="4"/>
  <c r="H15" i="4" s="1"/>
  <c r="I15" i="4" s="1"/>
  <c r="M98" i="4"/>
  <c r="G311" i="4"/>
  <c r="H311" i="4" s="1"/>
  <c r="I311" i="4" s="1"/>
  <c r="D279" i="4"/>
  <c r="E116" i="11" s="1"/>
  <c r="F116" i="11" s="1"/>
  <c r="G281" i="4"/>
  <c r="H281" i="4" s="1"/>
  <c r="I281" i="4" s="1"/>
  <c r="G280" i="4"/>
  <c r="H280" i="4" s="1"/>
  <c r="I280" i="4" s="1"/>
  <c r="D264" i="4"/>
  <c r="G268" i="4"/>
  <c r="H268" i="4" s="1"/>
  <c r="I268" i="4" s="1"/>
  <c r="G286" i="4"/>
  <c r="H286" i="4" s="1"/>
  <c r="I286" i="4" s="1"/>
  <c r="D250" i="4"/>
  <c r="G251" i="4"/>
  <c r="H251" i="4" s="1"/>
  <c r="I251" i="4" s="1"/>
  <c r="D212" i="4"/>
  <c r="G213" i="4"/>
  <c r="H213" i="4" s="1"/>
  <c r="I213" i="4" s="1"/>
  <c r="G214" i="4"/>
  <c r="H214" i="4" s="1"/>
  <c r="I214" i="4" s="1"/>
  <c r="G244" i="4"/>
  <c r="H244" i="4" s="1"/>
  <c r="I244" i="4" s="1"/>
  <c r="G228" i="4"/>
  <c r="H228" i="4" s="1"/>
  <c r="I228" i="4" s="1"/>
  <c r="M201" i="4"/>
  <c r="G202" i="4"/>
  <c r="H202" i="4" s="1"/>
  <c r="I202" i="4" s="1"/>
  <c r="D3" i="4" l="1"/>
  <c r="G68" i="4"/>
  <c r="H68" i="4" s="1"/>
  <c r="I68" i="4" s="1"/>
  <c r="G212" i="4"/>
  <c r="H212" i="4" s="1"/>
  <c r="I212" i="4" s="1"/>
  <c r="D338" i="4"/>
  <c r="D414" i="4" s="1"/>
  <c r="G340" i="4"/>
  <c r="G339" i="4" s="1"/>
  <c r="G338" i="4" s="1"/>
  <c r="G337" i="4" s="1"/>
  <c r="F337" i="4" s="1"/>
  <c r="M341" i="4"/>
  <c r="N201" i="4"/>
  <c r="N100" i="4"/>
  <c r="N98" i="4"/>
  <c r="N96" i="4"/>
  <c r="D8" i="4"/>
  <c r="G216" i="4"/>
  <c r="H216" i="4" s="1"/>
  <c r="I216" i="4" s="1"/>
  <c r="I8" i="8"/>
  <c r="F7" i="8"/>
  <c r="I7" i="8" s="1"/>
  <c r="E6" i="8"/>
  <c r="N199" i="4" s="1"/>
  <c r="I5" i="8"/>
  <c r="I4" i="8"/>
  <c r="O11" i="4"/>
  <c r="P11" i="4" s="1"/>
  <c r="Q19" i="4"/>
  <c r="G38" i="4"/>
  <c r="H38" i="4" s="1"/>
  <c r="I38" i="4" s="1"/>
  <c r="D54" i="4"/>
  <c r="G56" i="4"/>
  <c r="H56" i="4" s="1"/>
  <c r="I56" i="4" s="1"/>
  <c r="G55" i="4"/>
  <c r="H55" i="4" s="1"/>
  <c r="I55" i="4" s="1"/>
  <c r="D172" i="4"/>
  <c r="E122" i="11" s="1"/>
  <c r="F122" i="11" s="1"/>
  <c r="G174" i="4"/>
  <c r="H174" i="4" s="1"/>
  <c r="I174" i="4" s="1"/>
  <c r="G310" i="4"/>
  <c r="M100" i="4"/>
  <c r="M96" i="4"/>
  <c r="D208" i="4"/>
  <c r="G211" i="4"/>
  <c r="H211" i="4" s="1"/>
  <c r="I211" i="4" s="1"/>
  <c r="G169" i="4"/>
  <c r="H169" i="4" s="1"/>
  <c r="I169" i="4" s="1"/>
  <c r="D246" i="4"/>
  <c r="G136" i="4"/>
  <c r="H136" i="4" s="1"/>
  <c r="I136" i="4" s="1"/>
  <c r="D132" i="4"/>
  <c r="D94" i="4"/>
  <c r="D49" i="4"/>
  <c r="G49" i="4" s="1"/>
  <c r="D149" i="4"/>
  <c r="G153" i="4"/>
  <c r="H153" i="4" s="1"/>
  <c r="I153" i="4" s="1"/>
  <c r="D290" i="4"/>
  <c r="D282" i="4"/>
  <c r="G285" i="4"/>
  <c r="H285" i="4" s="1"/>
  <c r="I285" i="4" s="1"/>
  <c r="G288" i="4"/>
  <c r="H288" i="4" s="1"/>
  <c r="I288" i="4" s="1"/>
  <c r="G156" i="4"/>
  <c r="H156" i="4" s="1"/>
  <c r="I156" i="4" s="1"/>
  <c r="D154" i="4"/>
  <c r="G262" i="4"/>
  <c r="H262" i="4" s="1"/>
  <c r="I262" i="4" s="1"/>
  <c r="G261" i="4"/>
  <c r="H261" i="4" s="1"/>
  <c r="I261" i="4" s="1"/>
  <c r="G247" i="4"/>
  <c r="H247" i="4" s="1"/>
  <c r="I247" i="4" s="1"/>
  <c r="G248" i="4"/>
  <c r="H248" i="4" s="1"/>
  <c r="I248" i="4" s="1"/>
  <c r="G249" i="4"/>
  <c r="H249" i="4" s="1"/>
  <c r="I249" i="4" s="1"/>
  <c r="G243" i="4"/>
  <c r="H243" i="4" s="1"/>
  <c r="I243" i="4" s="1"/>
  <c r="G207" i="4"/>
  <c r="H207" i="4" s="1"/>
  <c r="I207" i="4" s="1"/>
  <c r="D180" i="4"/>
  <c r="G173" i="4"/>
  <c r="H173" i="4" s="1"/>
  <c r="I173" i="4" s="1"/>
  <c r="G150" i="4"/>
  <c r="H150" i="4" s="1"/>
  <c r="I150" i="4" s="1"/>
  <c r="G151" i="4"/>
  <c r="H151" i="4" s="1"/>
  <c r="I151" i="4" s="1"/>
  <c r="G152" i="4"/>
  <c r="H152" i="4" s="1"/>
  <c r="I152" i="4" s="1"/>
  <c r="F149" i="4"/>
  <c r="G133" i="4"/>
  <c r="H133" i="4" s="1"/>
  <c r="I133" i="4" s="1"/>
  <c r="G134" i="4"/>
  <c r="H134" i="4" s="1"/>
  <c r="I134" i="4" s="1"/>
  <c r="G135" i="4"/>
  <c r="H135" i="4" s="1"/>
  <c r="I135" i="4" s="1"/>
  <c r="G131" i="4"/>
  <c r="H131" i="4" s="1"/>
  <c r="I131" i="4" s="1"/>
  <c r="D137" i="4"/>
  <c r="G142" i="4"/>
  <c r="H142" i="4" s="1"/>
  <c r="I142" i="4" s="1"/>
  <c r="G141" i="4"/>
  <c r="H141" i="4" s="1"/>
  <c r="I141" i="4" s="1"/>
  <c r="G140" i="4"/>
  <c r="H140" i="4" s="1"/>
  <c r="I140" i="4" s="1"/>
  <c r="G139" i="4"/>
  <c r="H139" i="4" s="1"/>
  <c r="I139" i="4" s="1"/>
  <c r="G138" i="4"/>
  <c r="H138" i="4" s="1"/>
  <c r="I138" i="4" s="1"/>
  <c r="G112" i="4"/>
  <c r="H112" i="4" s="1"/>
  <c r="I112" i="4" s="1"/>
  <c r="G45" i="4"/>
  <c r="H45" i="4" s="1"/>
  <c r="I45" i="4" s="1"/>
  <c r="G44" i="4"/>
  <c r="H44" i="4" s="1"/>
  <c r="I44" i="4" s="1"/>
  <c r="G43" i="4"/>
  <c r="H43" i="4" s="1"/>
  <c r="I43" i="4" s="1"/>
  <c r="G42" i="4"/>
  <c r="H42" i="4" s="1"/>
  <c r="I42" i="4" s="1"/>
  <c r="D41" i="4"/>
  <c r="D113" i="4"/>
  <c r="O26" i="4" s="1"/>
  <c r="E65" i="4" l="1"/>
  <c r="E83" i="4"/>
  <c r="E52" i="4"/>
  <c r="E64" i="4"/>
  <c r="E66" i="4"/>
  <c r="E51" i="4"/>
  <c r="E47" i="4"/>
  <c r="E408" i="4"/>
  <c r="E46" i="4"/>
  <c r="E390" i="4"/>
  <c r="E391" i="4"/>
  <c r="H310" i="4"/>
  <c r="I310" i="4" s="1"/>
  <c r="G309" i="4"/>
  <c r="G308" i="4" s="1"/>
  <c r="E407" i="4"/>
  <c r="E399" i="4"/>
  <c r="E400" i="4"/>
  <c r="E401" i="4"/>
  <c r="E402" i="4"/>
  <c r="E403" i="4"/>
  <c r="E404" i="4"/>
  <c r="E405" i="4"/>
  <c r="E406" i="4"/>
  <c r="E397" i="4"/>
  <c r="E170" i="4"/>
  <c r="P26" i="4"/>
  <c r="N341" i="4"/>
  <c r="N340" i="4" s="1"/>
  <c r="K340" i="4" s="1"/>
  <c r="K339" i="4" s="1"/>
  <c r="K337" i="4" s="1"/>
  <c r="E342" i="4"/>
  <c r="E358" i="4"/>
  <c r="E359" i="4"/>
  <c r="E368" i="4"/>
  <c r="E315" i="4"/>
  <c r="E316" i="4"/>
  <c r="E317" i="4"/>
  <c r="E235" i="4"/>
  <c r="E299" i="4"/>
  <c r="E300" i="4"/>
  <c r="E301" i="4"/>
  <c r="E298" i="4"/>
  <c r="E314" i="4"/>
  <c r="E100" i="4"/>
  <c r="E82" i="4"/>
  <c r="E104" i="4"/>
  <c r="E370" i="4"/>
  <c r="E297" i="4"/>
  <c r="E112" i="4"/>
  <c r="E14" i="4"/>
  <c r="E143" i="4"/>
  <c r="E279" i="4"/>
  <c r="E99" i="4"/>
  <c r="E320" i="4"/>
  <c r="E306" i="4"/>
  <c r="E324" i="4"/>
  <c r="E26" i="4"/>
  <c r="E350" i="4"/>
  <c r="E332" i="4"/>
  <c r="E117" i="4"/>
  <c r="E292" i="4"/>
  <c r="E111" i="4"/>
  <c r="E74" i="4"/>
  <c r="E138" i="4"/>
  <c r="E55" i="4"/>
  <c r="E142" i="4"/>
  <c r="E131" i="4"/>
  <c r="E236" i="4"/>
  <c r="E349" i="4"/>
  <c r="E127" i="4"/>
  <c r="E304" i="4"/>
  <c r="E23" i="4"/>
  <c r="E191" i="4"/>
  <c r="E81" i="4"/>
  <c r="E163" i="4"/>
  <c r="E150" i="4"/>
  <c r="E16" i="4"/>
  <c r="E257" i="4"/>
  <c r="E148" i="4"/>
  <c r="E284" i="4"/>
  <c r="E267" i="4"/>
  <c r="E171" i="4"/>
  <c r="E180" i="4"/>
  <c r="E110" i="4"/>
  <c r="E303" i="4"/>
  <c r="E114" i="4"/>
  <c r="E200" i="4"/>
  <c r="E184" i="4"/>
  <c r="E263" i="4"/>
  <c r="E9" i="4"/>
  <c r="E123" i="4"/>
  <c r="E261" i="4"/>
  <c r="E25" i="4"/>
  <c r="E155" i="4"/>
  <c r="E38" i="4"/>
  <c r="E283" i="4"/>
  <c r="E118" i="4"/>
  <c r="E43" i="4"/>
  <c r="E102" i="4"/>
  <c r="E139" i="4"/>
  <c r="E295" i="4"/>
  <c r="E319" i="4"/>
  <c r="E105" i="4"/>
  <c r="E209" i="4"/>
  <c r="E153" i="4"/>
  <c r="E321" i="4"/>
  <c r="E203" i="4"/>
  <c r="E95" i="4"/>
  <c r="E287" i="4"/>
  <c r="E35" i="4"/>
  <c r="E172" i="4"/>
  <c r="E136" i="4"/>
  <c r="E60" i="4"/>
  <c r="E124" i="4"/>
  <c r="E333" i="4"/>
  <c r="E125" i="4"/>
  <c r="E334" i="4"/>
  <c r="E101" i="4"/>
  <c r="E305" i="4"/>
  <c r="E115" i="4"/>
  <c r="E322" i="4"/>
  <c r="E181" i="4"/>
  <c r="E130" i="4"/>
  <c r="E129" i="4"/>
  <c r="E220" i="4"/>
  <c r="E167" i="4"/>
  <c r="E67" i="4"/>
  <c r="E272" i="4"/>
  <c r="E44" i="4"/>
  <c r="E258" i="4"/>
  <c r="E18" i="4"/>
  <c r="E71" i="4"/>
  <c r="E356" i="4"/>
  <c r="E375" i="4"/>
  <c r="E339" i="4"/>
  <c r="E398" i="4"/>
  <c r="E395" i="4"/>
  <c r="E414" i="4"/>
  <c r="E33" i="4"/>
  <c r="E362" i="4"/>
  <c r="E173" i="4"/>
  <c r="E233" i="4"/>
  <c r="E156" i="4"/>
  <c r="E166" i="4"/>
  <c r="E157" i="4"/>
  <c r="E183" i="4"/>
  <c r="E126" i="4"/>
  <c r="E335" i="4"/>
  <c r="E141" i="4"/>
  <c r="E259" i="4"/>
  <c r="E218" i="4"/>
  <c r="E289" i="4"/>
  <c r="E164" i="4"/>
  <c r="E281" i="4"/>
  <c r="E204" i="4"/>
  <c r="E107" i="4"/>
  <c r="E327" i="4"/>
  <c r="E96" i="4"/>
  <c r="E293" i="4"/>
  <c r="E34" i="4"/>
  <c r="E367" i="4"/>
  <c r="E251" i="4"/>
  <c r="E396" i="4"/>
  <c r="E393" i="4"/>
  <c r="E273" i="4"/>
  <c r="E369" i="4"/>
  <c r="E352" i="4"/>
  <c r="E394" i="4"/>
  <c r="E282" i="4"/>
  <c r="E212" i="4"/>
  <c r="E190" i="4"/>
  <c r="E135" i="4"/>
  <c r="E174" i="4"/>
  <c r="E254" i="4"/>
  <c r="E177" i="4"/>
  <c r="E325" i="4"/>
  <c r="E140" i="4"/>
  <c r="E161" i="4"/>
  <c r="E21" i="4"/>
  <c r="E231" i="4"/>
  <c r="E207" i="4"/>
  <c r="E182" i="4"/>
  <c r="E202" i="4"/>
  <c r="E221" i="4"/>
  <c r="E120" i="4"/>
  <c r="E328" i="4"/>
  <c r="E108" i="4"/>
  <c r="E310" i="4"/>
  <c r="E40" i="4"/>
  <c r="E340" i="4"/>
  <c r="E378" i="4"/>
  <c r="E357" i="4"/>
  <c r="E351" i="4"/>
  <c r="E388" i="4"/>
  <c r="E32" i="4"/>
  <c r="E234" i="4"/>
  <c r="E10" i="4"/>
  <c r="E366" i="4"/>
  <c r="E278" i="4"/>
  <c r="E11" i="4"/>
  <c r="E225" i="4"/>
  <c r="E280" i="4"/>
  <c r="E210" i="4"/>
  <c r="E228" i="4"/>
  <c r="E211" i="4"/>
  <c r="E331" i="4"/>
  <c r="E178" i="4"/>
  <c r="E311" i="4"/>
  <c r="E199" i="4"/>
  <c r="E58" i="4"/>
  <c r="E265" i="4"/>
  <c r="E286" i="4"/>
  <c r="E219" i="4"/>
  <c r="E42" i="4"/>
  <c r="E255" i="4"/>
  <c r="E151" i="4"/>
  <c r="E27" i="4"/>
  <c r="E134" i="4"/>
  <c r="E45" i="4"/>
  <c r="E144" i="4"/>
  <c r="E341" i="4"/>
  <c r="E355" i="4"/>
  <c r="E360" i="4"/>
  <c r="E387" i="4"/>
  <c r="E379" i="4"/>
  <c r="E412" i="4"/>
  <c r="E274" i="4"/>
  <c r="E24" i="4"/>
  <c r="E353" i="4"/>
  <c r="E409" i="4"/>
  <c r="E208" i="4"/>
  <c r="E28" i="4"/>
  <c r="E238" i="4"/>
  <c r="E12" i="4"/>
  <c r="E226" i="4"/>
  <c r="E13" i="4"/>
  <c r="E227" i="4"/>
  <c r="E268" i="4"/>
  <c r="E198" i="4"/>
  <c r="E214" i="4"/>
  <c r="E217" i="4"/>
  <c r="E84" i="4"/>
  <c r="E285" i="4"/>
  <c r="E22" i="4"/>
  <c r="E232" i="4"/>
  <c r="E61" i="4"/>
  <c r="E271" i="4"/>
  <c r="E168" i="4"/>
  <c r="E76" i="4"/>
  <c r="E152" i="4"/>
  <c r="E97" i="4"/>
  <c r="E75" i="4"/>
  <c r="E354" i="4"/>
  <c r="E377" i="4"/>
  <c r="E345" i="4"/>
  <c r="E386" i="4"/>
  <c r="E392" i="4"/>
  <c r="E411" i="4"/>
  <c r="E384" i="4"/>
  <c r="E193" i="4"/>
  <c r="E179" i="4"/>
  <c r="E201" i="4"/>
  <c r="E121" i="4"/>
  <c r="E344" i="4"/>
  <c r="E149" i="4"/>
  <c r="E247" i="4"/>
  <c r="E29" i="4"/>
  <c r="E239" i="4"/>
  <c r="E30" i="4"/>
  <c r="E240" i="4"/>
  <c r="E213" i="4"/>
  <c r="E216" i="4"/>
  <c r="E20" i="4"/>
  <c r="E230" i="4"/>
  <c r="E103" i="4"/>
  <c r="E307" i="4"/>
  <c r="E37" i="4"/>
  <c r="E252" i="4"/>
  <c r="E90" i="4"/>
  <c r="E291" i="4"/>
  <c r="E185" i="4"/>
  <c r="E109" i="4"/>
  <c r="E169" i="4"/>
  <c r="E122" i="4"/>
  <c r="E146" i="4"/>
  <c r="E374" i="4"/>
  <c r="E365" i="4"/>
  <c r="E346" i="4"/>
  <c r="E385" i="4"/>
  <c r="E410" i="4"/>
  <c r="E380" i="4"/>
  <c r="E160" i="4"/>
  <c r="E313" i="4"/>
  <c r="E133" i="4"/>
  <c r="E39" i="4"/>
  <c r="E63" i="4"/>
  <c r="E62" i="4"/>
  <c r="E250" i="4"/>
  <c r="E77" i="4"/>
  <c r="E275" i="4"/>
  <c r="E50" i="4"/>
  <c r="E248" i="4"/>
  <c r="E53" i="4"/>
  <c r="E249" i="4"/>
  <c r="E19" i="4"/>
  <c r="E229" i="4"/>
  <c r="E31" i="4"/>
  <c r="E242" i="4"/>
  <c r="E116" i="4"/>
  <c r="E323" i="4"/>
  <c r="E59" i="4"/>
  <c r="E266" i="4"/>
  <c r="E106" i="4"/>
  <c r="E205" i="4"/>
  <c r="E189" i="4"/>
  <c r="E188" i="4"/>
  <c r="E237" i="4"/>
  <c r="E145" i="4"/>
  <c r="E361" i="4"/>
  <c r="E373" i="4"/>
  <c r="E245" i="4"/>
  <c r="E382" i="4"/>
  <c r="E383" i="4"/>
  <c r="E253" i="4"/>
  <c r="E224" i="4"/>
  <c r="E243" i="4"/>
  <c r="E244" i="4"/>
  <c r="E337" i="4"/>
  <c r="E264" i="4"/>
  <c r="E98" i="4"/>
  <c r="E296" i="4"/>
  <c r="E78" i="4"/>
  <c r="E276" i="4"/>
  <c r="E80" i="4"/>
  <c r="E277" i="4"/>
  <c r="E241" i="4"/>
  <c r="E56" i="4"/>
  <c r="E262" i="4"/>
  <c r="E128" i="4"/>
  <c r="E88" i="4"/>
  <c r="E87" i="4"/>
  <c r="E288" i="4"/>
  <c r="E119" i="4"/>
  <c r="E326" i="4"/>
  <c r="E222" i="4"/>
  <c r="E215" i="4"/>
  <c r="E206" i="4"/>
  <c r="E15" i="4"/>
  <c r="E70" i="4"/>
  <c r="E372" i="4"/>
  <c r="E376" i="4"/>
  <c r="E347" i="4"/>
  <c r="E364" i="4"/>
  <c r="E413" i="4"/>
  <c r="E381" i="4"/>
  <c r="E223" i="4"/>
  <c r="E17" i="4"/>
  <c r="E69" i="4"/>
  <c r="E371" i="4"/>
  <c r="E363" i="4"/>
  <c r="E348" i="4"/>
  <c r="E343" i="4"/>
  <c r="E389" i="4"/>
  <c r="E154" i="4"/>
  <c r="E165" i="4"/>
  <c r="E41" i="4"/>
  <c r="E338" i="4"/>
  <c r="N3" i="4"/>
  <c r="Q20" i="4" s="1"/>
  <c r="E54" i="4"/>
  <c r="M94" i="4"/>
  <c r="E113" i="4"/>
  <c r="D196" i="4"/>
  <c r="E49" i="4"/>
  <c r="D93" i="4"/>
  <c r="E94" i="4"/>
  <c r="E290" i="4"/>
  <c r="G132" i="4"/>
  <c r="H132" i="4" s="1"/>
  <c r="I132" i="4" s="1"/>
  <c r="E132" i="4"/>
  <c r="G246" i="4"/>
  <c r="H246" i="4" s="1"/>
  <c r="I246" i="4" s="1"/>
  <c r="E246" i="4"/>
  <c r="E197" i="4"/>
  <c r="D7" i="4"/>
  <c r="E7" i="4" s="1"/>
  <c r="E8" i="4"/>
  <c r="G137" i="4"/>
  <c r="E137" i="4"/>
  <c r="G260" i="4"/>
  <c r="H260" i="4" s="1"/>
  <c r="I260" i="4" s="1"/>
  <c r="E260" i="4"/>
  <c r="M199" i="4"/>
  <c r="M197" i="4" s="1"/>
  <c r="N197" i="4" s="1"/>
  <c r="K196" i="4" s="1"/>
  <c r="G154" i="4"/>
  <c r="G54" i="4"/>
  <c r="H54" i="4" s="1"/>
  <c r="I54" i="4" s="1"/>
  <c r="M8" i="4"/>
  <c r="N8" i="4" s="1"/>
  <c r="H143" i="4"/>
  <c r="I143" i="4" s="1"/>
  <c r="G62" i="4"/>
  <c r="H62" i="4" s="1"/>
  <c r="I62" i="4" s="1"/>
  <c r="G250" i="4"/>
  <c r="H250" i="4" s="1"/>
  <c r="I250" i="4" s="1"/>
  <c r="G41" i="4"/>
  <c r="H41" i="4" s="1"/>
  <c r="I41" i="4" s="1"/>
  <c r="G63" i="4"/>
  <c r="H63" i="4" s="1"/>
  <c r="I63" i="4" s="1"/>
  <c r="G35" i="4"/>
  <c r="H35" i="4" s="1"/>
  <c r="I35" i="4" s="1"/>
  <c r="G149" i="4"/>
  <c r="H149" i="4" s="1"/>
  <c r="I149" i="4" s="1"/>
  <c r="G157" i="4"/>
  <c r="H157" i="4" s="1"/>
  <c r="I157" i="4" s="1"/>
  <c r="J302" i="4"/>
  <c r="F302" i="4"/>
  <c r="G305" i="4"/>
  <c r="H305" i="4" s="1"/>
  <c r="I305" i="4" s="1"/>
  <c r="G306" i="4"/>
  <c r="H306" i="4" s="1"/>
  <c r="I306" i="4" s="1"/>
  <c r="G307" i="4"/>
  <c r="H307" i="4" s="1"/>
  <c r="I307" i="4" s="1"/>
  <c r="G304" i="4"/>
  <c r="H304" i="4" s="1"/>
  <c r="I304" i="4" s="1"/>
  <c r="G303" i="4"/>
  <c r="H303" i="4" s="1"/>
  <c r="I303" i="4" s="1"/>
  <c r="J294" i="4"/>
  <c r="F294" i="4"/>
  <c r="G296" i="4"/>
  <c r="H296" i="4" s="1"/>
  <c r="I296" i="4" s="1"/>
  <c r="G295" i="4"/>
  <c r="H295" i="4" s="1"/>
  <c r="I295" i="4" s="1"/>
  <c r="G293" i="4"/>
  <c r="H293" i="4" s="1"/>
  <c r="I293" i="4" s="1"/>
  <c r="G292" i="4"/>
  <c r="H292" i="4" s="1"/>
  <c r="I292" i="4" s="1"/>
  <c r="G291" i="4"/>
  <c r="H291" i="4" s="1"/>
  <c r="I291" i="4" s="1"/>
  <c r="F290" i="4"/>
  <c r="G289" i="4"/>
  <c r="H289" i="4" s="1"/>
  <c r="I289" i="4" s="1"/>
  <c r="G284" i="4"/>
  <c r="H284" i="4" s="1"/>
  <c r="I284" i="4" s="1"/>
  <c r="G283" i="4"/>
  <c r="G277" i="4"/>
  <c r="H277" i="4" s="1"/>
  <c r="I277" i="4" s="1"/>
  <c r="G279" i="4"/>
  <c r="G267" i="4"/>
  <c r="H267" i="4" s="1"/>
  <c r="I267" i="4" s="1"/>
  <c r="G266" i="4"/>
  <c r="H266" i="4" s="1"/>
  <c r="I266" i="4" s="1"/>
  <c r="G265" i="4"/>
  <c r="H265" i="4" s="1"/>
  <c r="I265" i="4" s="1"/>
  <c r="J270" i="4"/>
  <c r="G272" i="4"/>
  <c r="H272" i="4" s="1"/>
  <c r="I272" i="4" s="1"/>
  <c r="G273" i="4"/>
  <c r="H273" i="4" s="1"/>
  <c r="I273" i="4" s="1"/>
  <c r="G274" i="4"/>
  <c r="H274" i="4" s="1"/>
  <c r="I274" i="4" s="1"/>
  <c r="G275" i="4"/>
  <c r="H275" i="4" s="1"/>
  <c r="I275" i="4" s="1"/>
  <c r="G276" i="4"/>
  <c r="H276" i="4" s="1"/>
  <c r="I276" i="4" s="1"/>
  <c r="G271" i="4"/>
  <c r="H271" i="4" s="1"/>
  <c r="I271" i="4" s="1"/>
  <c r="F270" i="4"/>
  <c r="G254" i="4"/>
  <c r="H254" i="4" s="1"/>
  <c r="I254" i="4" s="1"/>
  <c r="G255" i="4"/>
  <c r="H255" i="4" s="1"/>
  <c r="I255" i="4" s="1"/>
  <c r="G252" i="4"/>
  <c r="H252" i="4" s="1"/>
  <c r="I252" i="4" s="1"/>
  <c r="J256" i="4"/>
  <c r="G258" i="4"/>
  <c r="H258" i="4" s="1"/>
  <c r="I258" i="4" s="1"/>
  <c r="G259" i="4"/>
  <c r="H259" i="4" s="1"/>
  <c r="I259" i="4" s="1"/>
  <c r="G257" i="4"/>
  <c r="H257" i="4" s="1"/>
  <c r="I257" i="4" s="1"/>
  <c r="G278" i="4"/>
  <c r="H278" i="4" s="1"/>
  <c r="I278" i="4" s="1"/>
  <c r="J215" i="4"/>
  <c r="J208" i="4"/>
  <c r="G215" i="4"/>
  <c r="G217" i="4"/>
  <c r="H217" i="4" s="1"/>
  <c r="I217" i="4" s="1"/>
  <c r="G218" i="4"/>
  <c r="H218" i="4" s="1"/>
  <c r="I218" i="4" s="1"/>
  <c r="G219" i="4"/>
  <c r="H219" i="4" s="1"/>
  <c r="I219" i="4" s="1"/>
  <c r="G220" i="4"/>
  <c r="H220" i="4" s="1"/>
  <c r="I220" i="4" s="1"/>
  <c r="G221" i="4"/>
  <c r="H221" i="4" s="1"/>
  <c r="I221" i="4" s="1"/>
  <c r="G222" i="4"/>
  <c r="H222" i="4" s="1"/>
  <c r="I222" i="4" s="1"/>
  <c r="G223" i="4"/>
  <c r="H223" i="4" s="1"/>
  <c r="I223" i="4" s="1"/>
  <c r="G224" i="4"/>
  <c r="H224" i="4" s="1"/>
  <c r="I224" i="4" s="1"/>
  <c r="G225" i="4"/>
  <c r="H225" i="4" s="1"/>
  <c r="I225" i="4" s="1"/>
  <c r="G226" i="4"/>
  <c r="H226" i="4" s="1"/>
  <c r="I226" i="4" s="1"/>
  <c r="G227" i="4"/>
  <c r="H227" i="4" s="1"/>
  <c r="I227" i="4" s="1"/>
  <c r="G229" i="4"/>
  <c r="H229" i="4" s="1"/>
  <c r="I229" i="4" s="1"/>
  <c r="G230" i="4"/>
  <c r="H230" i="4" s="1"/>
  <c r="I230" i="4" s="1"/>
  <c r="G231" i="4"/>
  <c r="H231" i="4" s="1"/>
  <c r="I231" i="4" s="1"/>
  <c r="G232" i="4"/>
  <c r="H232" i="4" s="1"/>
  <c r="I232" i="4" s="1"/>
  <c r="G233" i="4"/>
  <c r="H233" i="4" s="1"/>
  <c r="I233" i="4" s="1"/>
  <c r="G234" i="4"/>
  <c r="H234" i="4" s="1"/>
  <c r="I234" i="4" s="1"/>
  <c r="G235" i="4"/>
  <c r="H235" i="4" s="1"/>
  <c r="I235" i="4" s="1"/>
  <c r="G236" i="4"/>
  <c r="H236" i="4" s="1"/>
  <c r="I236" i="4" s="1"/>
  <c r="G237" i="4"/>
  <c r="H237" i="4" s="1"/>
  <c r="I237" i="4" s="1"/>
  <c r="G238" i="4"/>
  <c r="H238" i="4" s="1"/>
  <c r="I238" i="4" s="1"/>
  <c r="G239" i="4"/>
  <c r="H239" i="4" s="1"/>
  <c r="I239" i="4" s="1"/>
  <c r="G240" i="4"/>
  <c r="H240" i="4" s="1"/>
  <c r="I240" i="4" s="1"/>
  <c r="G241" i="4"/>
  <c r="H241" i="4" s="1"/>
  <c r="I241" i="4" s="1"/>
  <c r="G242" i="4"/>
  <c r="H242" i="4" s="1"/>
  <c r="I242" i="4" s="1"/>
  <c r="G209" i="4"/>
  <c r="H209" i="4" s="1"/>
  <c r="I209" i="4" s="1"/>
  <c r="G210" i="4"/>
  <c r="H210" i="4" s="1"/>
  <c r="I210" i="4" s="1"/>
  <c r="G172" i="4"/>
  <c r="H172" i="4" s="1"/>
  <c r="I172" i="4" s="1"/>
  <c r="G171" i="4"/>
  <c r="H171" i="4" s="1"/>
  <c r="I171" i="4" s="1"/>
  <c r="G197" i="4"/>
  <c r="G198" i="4"/>
  <c r="H198" i="4" s="1"/>
  <c r="I198" i="4" s="1"/>
  <c r="G199" i="4"/>
  <c r="H199" i="4" s="1"/>
  <c r="I199" i="4" s="1"/>
  <c r="G200" i="4"/>
  <c r="H200" i="4" s="1"/>
  <c r="I200" i="4" s="1"/>
  <c r="G201" i="4"/>
  <c r="H201" i="4" s="1"/>
  <c r="I201" i="4" s="1"/>
  <c r="G203" i="4"/>
  <c r="H203" i="4" s="1"/>
  <c r="I203" i="4" s="1"/>
  <c r="G204" i="4"/>
  <c r="H204" i="4" s="1"/>
  <c r="I204" i="4" s="1"/>
  <c r="G205" i="4"/>
  <c r="H205" i="4" s="1"/>
  <c r="I205" i="4" s="1"/>
  <c r="G206" i="4"/>
  <c r="G167" i="4"/>
  <c r="H167" i="4" s="1"/>
  <c r="I167" i="4" s="1"/>
  <c r="G168" i="4"/>
  <c r="H168" i="4" s="1"/>
  <c r="I168" i="4" s="1"/>
  <c r="G166" i="4"/>
  <c r="J154" i="4"/>
  <c r="G155" i="4"/>
  <c r="J162" i="4"/>
  <c r="F162" i="4"/>
  <c r="G164" i="4"/>
  <c r="H164" i="4" s="1"/>
  <c r="I164" i="4" s="1"/>
  <c r="G163" i="4"/>
  <c r="F147" i="4"/>
  <c r="G148" i="4"/>
  <c r="H148" i="4" s="1"/>
  <c r="I148" i="4" s="1"/>
  <c r="J159" i="4"/>
  <c r="F159" i="4"/>
  <c r="G161" i="4"/>
  <c r="H161" i="4" s="1"/>
  <c r="I161" i="4" s="1"/>
  <c r="G160" i="4"/>
  <c r="F113" i="4"/>
  <c r="G115" i="4"/>
  <c r="H115" i="4" s="1"/>
  <c r="I115" i="4" s="1"/>
  <c r="G116" i="4"/>
  <c r="H116" i="4" s="1"/>
  <c r="I116" i="4" s="1"/>
  <c r="G117" i="4"/>
  <c r="H117" i="4" s="1"/>
  <c r="I117" i="4" s="1"/>
  <c r="G118" i="4"/>
  <c r="H118" i="4" s="1"/>
  <c r="I118" i="4" s="1"/>
  <c r="G119" i="4"/>
  <c r="H119" i="4" s="1"/>
  <c r="I119" i="4" s="1"/>
  <c r="G120" i="4"/>
  <c r="H120" i="4" s="1"/>
  <c r="I120" i="4" s="1"/>
  <c r="G121" i="4"/>
  <c r="H121" i="4" s="1"/>
  <c r="I121" i="4" s="1"/>
  <c r="G122" i="4"/>
  <c r="H122" i="4" s="1"/>
  <c r="I122" i="4" s="1"/>
  <c r="G123" i="4"/>
  <c r="H123" i="4" s="1"/>
  <c r="I123" i="4" s="1"/>
  <c r="G124" i="4"/>
  <c r="H124" i="4" s="1"/>
  <c r="I124" i="4" s="1"/>
  <c r="G125" i="4"/>
  <c r="H125" i="4" s="1"/>
  <c r="I125" i="4" s="1"/>
  <c r="G126" i="4"/>
  <c r="H126" i="4" s="1"/>
  <c r="I126" i="4" s="1"/>
  <c r="G127" i="4"/>
  <c r="H127" i="4" s="1"/>
  <c r="I127" i="4" s="1"/>
  <c r="G128" i="4"/>
  <c r="H128" i="4" s="1"/>
  <c r="I128" i="4" s="1"/>
  <c r="G129" i="4"/>
  <c r="H129" i="4" s="1"/>
  <c r="I129" i="4" s="1"/>
  <c r="G130" i="4"/>
  <c r="H130" i="4" s="1"/>
  <c r="I130" i="4" s="1"/>
  <c r="G114" i="4"/>
  <c r="H114" i="4" s="1"/>
  <c r="I114" i="4" s="1"/>
  <c r="G94" i="4"/>
  <c r="G96" i="4"/>
  <c r="H96" i="4" s="1"/>
  <c r="I96" i="4" s="1"/>
  <c r="G97" i="4"/>
  <c r="H97" i="4" s="1"/>
  <c r="I97" i="4" s="1"/>
  <c r="G98" i="4"/>
  <c r="H98" i="4" s="1"/>
  <c r="I98" i="4" s="1"/>
  <c r="G99" i="4"/>
  <c r="H99" i="4" s="1"/>
  <c r="I99" i="4" s="1"/>
  <c r="G100" i="4"/>
  <c r="H100" i="4" s="1"/>
  <c r="I100" i="4" s="1"/>
  <c r="G101" i="4"/>
  <c r="H101" i="4" s="1"/>
  <c r="I101" i="4" s="1"/>
  <c r="G102" i="4"/>
  <c r="H102" i="4" s="1"/>
  <c r="I102" i="4" s="1"/>
  <c r="G103" i="4"/>
  <c r="H103" i="4" s="1"/>
  <c r="I103" i="4" s="1"/>
  <c r="G104" i="4"/>
  <c r="H104" i="4" s="1"/>
  <c r="I104" i="4" s="1"/>
  <c r="G105" i="4"/>
  <c r="H105" i="4" s="1"/>
  <c r="I105" i="4" s="1"/>
  <c r="G106" i="4"/>
  <c r="H106" i="4" s="1"/>
  <c r="I106" i="4" s="1"/>
  <c r="G107" i="4"/>
  <c r="H107" i="4" s="1"/>
  <c r="I107" i="4" s="1"/>
  <c r="G108" i="4"/>
  <c r="H108" i="4" s="1"/>
  <c r="I108" i="4" s="1"/>
  <c r="G109" i="4"/>
  <c r="H109" i="4" s="1"/>
  <c r="I109" i="4" s="1"/>
  <c r="G110" i="4"/>
  <c r="H110" i="4" s="1"/>
  <c r="I110" i="4" s="1"/>
  <c r="G111" i="4"/>
  <c r="H111" i="4" s="1"/>
  <c r="I111" i="4" s="1"/>
  <c r="G95" i="4"/>
  <c r="G67" i="4"/>
  <c r="H67" i="4" s="1"/>
  <c r="I67" i="4" s="1"/>
  <c r="F57" i="4"/>
  <c r="G59" i="4"/>
  <c r="H59" i="4" s="1"/>
  <c r="I59" i="4" s="1"/>
  <c r="G60" i="4"/>
  <c r="H60" i="4" s="1"/>
  <c r="I60" i="4" s="1"/>
  <c r="G61" i="4"/>
  <c r="H61" i="4" s="1"/>
  <c r="I61" i="4" s="1"/>
  <c r="G58" i="4"/>
  <c r="H58" i="4" s="1"/>
  <c r="I58" i="4" s="1"/>
  <c r="G37" i="4"/>
  <c r="G53" i="4"/>
  <c r="H53" i="4" s="1"/>
  <c r="I53" i="4" s="1"/>
  <c r="G50" i="4"/>
  <c r="G20" i="4"/>
  <c r="H20" i="4" s="1"/>
  <c r="I20" i="4" s="1"/>
  <c r="G21" i="4"/>
  <c r="H21" i="4" s="1"/>
  <c r="I21" i="4" s="1"/>
  <c r="G22" i="4"/>
  <c r="H22" i="4" s="1"/>
  <c r="I22" i="4" s="1"/>
  <c r="G23" i="4"/>
  <c r="H23" i="4" s="1"/>
  <c r="I23" i="4" s="1"/>
  <c r="G24" i="4"/>
  <c r="H24" i="4" s="1"/>
  <c r="I24" i="4" s="1"/>
  <c r="G25" i="4"/>
  <c r="H25" i="4" s="1"/>
  <c r="I25" i="4" s="1"/>
  <c r="G26" i="4"/>
  <c r="H26" i="4" s="1"/>
  <c r="I26" i="4" s="1"/>
  <c r="G27" i="4"/>
  <c r="H27" i="4" s="1"/>
  <c r="I27" i="4" s="1"/>
  <c r="G28" i="4"/>
  <c r="H28" i="4" s="1"/>
  <c r="I28" i="4" s="1"/>
  <c r="G29" i="4"/>
  <c r="H29" i="4" s="1"/>
  <c r="I29" i="4" s="1"/>
  <c r="G30" i="4"/>
  <c r="H30" i="4" s="1"/>
  <c r="I30" i="4" s="1"/>
  <c r="G31" i="4"/>
  <c r="H31" i="4" s="1"/>
  <c r="I31" i="4" s="1"/>
  <c r="G32" i="4"/>
  <c r="H32" i="4" s="1"/>
  <c r="I32" i="4" s="1"/>
  <c r="G19" i="4"/>
  <c r="G10" i="4"/>
  <c r="H10" i="4" s="1"/>
  <c r="I10" i="4" s="1"/>
  <c r="G11" i="4"/>
  <c r="H11" i="4" s="1"/>
  <c r="I11" i="4" s="1"/>
  <c r="G12" i="4"/>
  <c r="H12" i="4" s="1"/>
  <c r="I12" i="4" s="1"/>
  <c r="G13" i="4"/>
  <c r="H13" i="4" s="1"/>
  <c r="I13" i="4" s="1"/>
  <c r="G9" i="4"/>
  <c r="H9" i="4" s="1"/>
  <c r="I9" i="4" s="1"/>
  <c r="D318" i="4"/>
  <c r="E318" i="4" s="1"/>
  <c r="D330" i="4"/>
  <c r="E330" i="4" s="1"/>
  <c r="E312" i="4"/>
  <c r="D302" i="4"/>
  <c r="D270" i="4"/>
  <c r="D256" i="4"/>
  <c r="E106" i="11" s="1"/>
  <c r="F106" i="11" s="1"/>
  <c r="D162" i="4"/>
  <c r="E162" i="4" s="1"/>
  <c r="D187" i="4"/>
  <c r="E187" i="4" s="1"/>
  <c r="D176" i="4"/>
  <c r="E176" i="4" s="1"/>
  <c r="D159" i="4"/>
  <c r="D147" i="4"/>
  <c r="E68" i="4"/>
  <c r="E4" i="4"/>
  <c r="D86" i="4"/>
  <c r="D79" i="4"/>
  <c r="E79" i="4" s="1"/>
  <c r="E73" i="4"/>
  <c r="D57" i="4"/>
  <c r="E57" i="4" s="1"/>
  <c r="D36" i="4"/>
  <c r="E110" i="11" l="1"/>
  <c r="F110" i="11" s="1"/>
  <c r="E120" i="11"/>
  <c r="F120" i="11" s="1"/>
  <c r="E3" i="4"/>
  <c r="H166" i="4"/>
  <c r="I166" i="4" s="1"/>
  <c r="G165" i="4"/>
  <c r="F165" i="4" s="1"/>
  <c r="G282" i="4"/>
  <c r="F282" i="4" s="1"/>
  <c r="L3" i="4"/>
  <c r="E270" i="4"/>
  <c r="E93" i="4"/>
  <c r="D92" i="4"/>
  <c r="E92" i="4" s="1"/>
  <c r="D6" i="4"/>
  <c r="E302" i="4"/>
  <c r="K7" i="4"/>
  <c r="K195" i="4"/>
  <c r="K193" i="4" s="1"/>
  <c r="G93" i="4"/>
  <c r="G7" i="4"/>
  <c r="H154" i="4"/>
  <c r="I154" i="4" s="1"/>
  <c r="E147" i="4"/>
  <c r="E196" i="4"/>
  <c r="D195" i="4"/>
  <c r="E195" i="4" s="1"/>
  <c r="E159" i="4"/>
  <c r="E256" i="4"/>
  <c r="E294" i="4"/>
  <c r="E36" i="4"/>
  <c r="E86" i="4"/>
  <c r="N94" i="4"/>
  <c r="K93" i="4" s="1"/>
  <c r="M6" i="4"/>
  <c r="H49" i="4"/>
  <c r="I49" i="4" s="1"/>
  <c r="G8" i="4"/>
  <c r="H8" i="4" s="1"/>
  <c r="I8" i="4" s="1"/>
  <c r="H279" i="4"/>
  <c r="I279" i="4" s="1"/>
  <c r="G270" i="4"/>
  <c r="G294" i="4"/>
  <c r="H294" i="4" s="1"/>
  <c r="I294" i="4" s="1"/>
  <c r="G302" i="4"/>
  <c r="H302" i="4" s="1"/>
  <c r="I302" i="4" s="1"/>
  <c r="D329" i="4"/>
  <c r="E329" i="4" s="1"/>
  <c r="G290" i="4"/>
  <c r="H290" i="4" s="1"/>
  <c r="I290" i="4" s="1"/>
  <c r="G159" i="4"/>
  <c r="G208" i="4"/>
  <c r="H208" i="4" s="1"/>
  <c r="I208" i="4" s="1"/>
  <c r="G162" i="4"/>
  <c r="H162" i="4" s="1"/>
  <c r="I162" i="4" s="1"/>
  <c r="D85" i="4"/>
  <c r="E85" i="4" s="1"/>
  <c r="D186" i="4"/>
  <c r="E186" i="4" s="1"/>
  <c r="H215" i="4"/>
  <c r="I215" i="4" s="1"/>
  <c r="G256" i="4"/>
  <c r="H256" i="4" s="1"/>
  <c r="I256" i="4" s="1"/>
  <c r="H197" i="4"/>
  <c r="I197" i="4" s="1"/>
  <c r="H94" i="4"/>
  <c r="I94" i="4" s="1"/>
  <c r="G14" i="4"/>
  <c r="H14" i="4" s="1"/>
  <c r="I14" i="4" s="1"/>
  <c r="G36" i="4"/>
  <c r="H36" i="4" s="1"/>
  <c r="I36" i="4" s="1"/>
  <c r="G113" i="4"/>
  <c r="H113" i="4" s="1"/>
  <c r="I113" i="4" s="1"/>
  <c r="D175" i="4"/>
  <c r="D158" i="4" s="1"/>
  <c r="H155" i="4"/>
  <c r="I155" i="4" s="1"/>
  <c r="D72" i="4"/>
  <c r="H160" i="4"/>
  <c r="I160" i="4" s="1"/>
  <c r="H163" i="4"/>
  <c r="I163" i="4" s="1"/>
  <c r="H57" i="4"/>
  <c r="I57" i="4" s="1"/>
  <c r="G147" i="4"/>
  <c r="H147" i="4"/>
  <c r="I147" i="4" s="1"/>
  <c r="H37" i="4"/>
  <c r="I37" i="4" s="1"/>
  <c r="H19" i="4"/>
  <c r="I19" i="4" s="1"/>
  <c r="H50" i="4"/>
  <c r="I50" i="4" s="1"/>
  <c r="H206" i="4"/>
  <c r="I206" i="4" s="1"/>
  <c r="G57" i="4"/>
  <c r="G48" i="4" s="1"/>
  <c r="H95" i="4"/>
  <c r="I95" i="4" s="1"/>
  <c r="H283" i="4"/>
  <c r="I283" i="4" s="1"/>
  <c r="E32" i="2"/>
  <c r="E31" i="2"/>
  <c r="E30" i="2"/>
  <c r="E29" i="2"/>
  <c r="E28" i="2"/>
  <c r="E27" i="2"/>
  <c r="D26" i="2"/>
  <c r="E26" i="2" s="1"/>
  <c r="E25" i="2"/>
  <c r="E24" i="2"/>
  <c r="E23" i="2"/>
  <c r="E22" i="2"/>
  <c r="E21" i="2"/>
  <c r="E20" i="2"/>
  <c r="E19" i="2"/>
  <c r="E18" i="2"/>
  <c r="E16" i="2"/>
  <c r="E15" i="2"/>
  <c r="D14" i="2"/>
  <c r="E14" i="2" s="1"/>
  <c r="E13" i="2"/>
  <c r="E12" i="2"/>
  <c r="G5" i="2" s="1"/>
  <c r="E11" i="2"/>
  <c r="E10" i="2"/>
  <c r="D9" i="2"/>
  <c r="E9" i="2" s="1"/>
  <c r="E8" i="2"/>
  <c r="E7" i="2"/>
  <c r="D6" i="2"/>
  <c r="E6" i="2" s="1"/>
  <c r="F6" i="2" s="1"/>
  <c r="E4" i="2"/>
  <c r="E108" i="11" l="1"/>
  <c r="F108" i="11" s="1"/>
  <c r="E105" i="11"/>
  <c r="F105" i="11" s="1"/>
  <c r="H270" i="4"/>
  <c r="I270" i="4" s="1"/>
  <c r="G269" i="4"/>
  <c r="H159" i="4"/>
  <c r="I159" i="4" s="1"/>
  <c r="G158" i="4"/>
  <c r="G196" i="4"/>
  <c r="G195" i="4" s="1"/>
  <c r="H93" i="4"/>
  <c r="I93" i="4" s="1"/>
  <c r="G92" i="4"/>
  <c r="H7" i="4"/>
  <c r="I7" i="4" s="1"/>
  <c r="G6" i="4"/>
  <c r="D91" i="4"/>
  <c r="E91" i="4" s="1"/>
  <c r="N4" i="4"/>
  <c r="D194" i="4"/>
  <c r="E194" i="4" s="1"/>
  <c r="E158" i="4"/>
  <c r="E175" i="4"/>
  <c r="D48" i="4"/>
  <c r="E48" i="4" s="1"/>
  <c r="E72" i="4"/>
  <c r="D5" i="4"/>
  <c r="E5" i="4" s="1"/>
  <c r="E6" i="4"/>
  <c r="K92" i="4"/>
  <c r="K90" i="4" s="1"/>
  <c r="K6" i="4"/>
  <c r="K4" i="4" s="1"/>
  <c r="F22" i="2"/>
  <c r="F18" i="2"/>
  <c r="F30" i="2"/>
  <c r="F16" i="2"/>
  <c r="F29" i="2"/>
  <c r="F9" i="2"/>
  <c r="F28" i="2"/>
  <c r="F31" i="2"/>
  <c r="F20" i="2"/>
  <c r="F32" i="2"/>
  <c r="F19" i="2"/>
  <c r="F23" i="2"/>
  <c r="F8" i="2"/>
  <c r="F12" i="2"/>
  <c r="F13" i="2"/>
  <c r="F25" i="2"/>
  <c r="F14" i="2"/>
  <c r="F26" i="2"/>
  <c r="D5" i="2"/>
  <c r="E5" i="2" s="1"/>
  <c r="F5" i="2" s="1"/>
  <c r="F15" i="2"/>
  <c r="F27" i="2"/>
  <c r="F11" i="2"/>
  <c r="F24" i="2"/>
  <c r="F10" i="2"/>
  <c r="F7" i="2"/>
  <c r="F21" i="2"/>
  <c r="F158" i="4" l="1"/>
  <c r="F48" i="4"/>
  <c r="F92" i="4"/>
  <c r="G91" i="4"/>
  <c r="F6" i="4"/>
  <c r="G5" i="4"/>
  <c r="K3" i="4"/>
  <c r="C5" i="7"/>
  <c r="D192" i="4"/>
  <c r="E192" i="4" s="1"/>
  <c r="D89" i="4"/>
  <c r="E89" i="4" s="1"/>
  <c r="O3" i="4"/>
  <c r="Q21" i="4"/>
  <c r="D17" i="2"/>
  <c r="E17" i="2" s="1"/>
  <c r="F17" i="2" s="1"/>
  <c r="F4" i="2" s="1"/>
  <c r="D33" i="2"/>
  <c r="E33" i="2" s="1"/>
  <c r="F33" i="2" s="1"/>
  <c r="G264" i="4"/>
  <c r="H264" i="4" s="1"/>
  <c r="I264" i="4" s="1"/>
  <c r="G194" i="4" l="1"/>
  <c r="G193" i="4" s="1"/>
  <c r="F193" i="4" s="1"/>
  <c r="G90" i="4"/>
  <c r="F90" i="4" s="1"/>
  <c r="F91" i="4"/>
  <c r="F5" i="4"/>
  <c r="G4" i="4"/>
  <c r="C16" i="7"/>
  <c r="C8" i="7"/>
  <c r="C19" i="7"/>
  <c r="C7" i="7"/>
  <c r="C11" i="7"/>
  <c r="M3" i="4"/>
  <c r="Q9" i="4" s="1"/>
  <c r="G3" i="4" l="1"/>
  <c r="F3" i="4" s="1"/>
  <c r="F4" i="4"/>
  <c r="C13" i="7"/>
  <c r="C15" i="7"/>
  <c r="D309" i="4" l="1"/>
  <c r="D308" i="4" l="1"/>
  <c r="E308" i="4" s="1"/>
  <c r="E309" i="4"/>
  <c r="D269" i="4" l="1"/>
  <c r="E269" i="4" s="1"/>
  <c r="D336" i="4" l="1"/>
  <c r="N313" i="4" s="1"/>
  <c r="E336" i="4" l="1"/>
  <c r="C18" i="7"/>
</calcChain>
</file>

<file path=xl/sharedStrings.xml><?xml version="1.0" encoding="utf-8"?>
<sst xmlns="http://schemas.openxmlformats.org/spreadsheetml/2006/main" count="3721" uniqueCount="1223">
  <si>
    <t>TT</t>
  </si>
  <si>
    <t>TỔNG</t>
  </si>
  <si>
    <t>Đất ở</t>
  </si>
  <si>
    <t>MN</t>
  </si>
  <si>
    <t>TG</t>
  </si>
  <si>
    <t>HT</t>
  </si>
  <si>
    <t>CN</t>
  </si>
  <si>
    <t>CQ</t>
  </si>
  <si>
    <t>DL</t>
  </si>
  <si>
    <t>SỬ DỤNG ĐẤT</t>
  </si>
  <si>
    <t>KÝ HIỆU</t>
  </si>
  <si>
    <t>TỶ LỆ
(%)</t>
  </si>
  <si>
    <t>CHỈ TIÊU (M2/NG)</t>
  </si>
  <si>
    <t>1.1.1</t>
  </si>
  <si>
    <t>1.2.1</t>
  </si>
  <si>
    <t>1.2.2</t>
  </si>
  <si>
    <t>1.2.3</t>
  </si>
  <si>
    <t>Đất cây xanh đơn vị ở</t>
  </si>
  <si>
    <t>Đất cây xanh đô thị</t>
  </si>
  <si>
    <t>Đất an ninh quốc phòng</t>
  </si>
  <si>
    <t>Đất cây xanh cách ly</t>
  </si>
  <si>
    <t>Đất công nghiệp</t>
  </si>
  <si>
    <t>OST</t>
  </si>
  <si>
    <t>1.3</t>
  </si>
  <si>
    <t>1.2</t>
  </si>
  <si>
    <t>2.5</t>
  </si>
  <si>
    <t>2.4</t>
  </si>
  <si>
    <t>Đất giao thông</t>
  </si>
  <si>
    <t>2.2</t>
  </si>
  <si>
    <t>2.1</t>
  </si>
  <si>
    <t>2.3</t>
  </si>
  <si>
    <t>1.1</t>
  </si>
  <si>
    <t>Đất cơ quan</t>
  </si>
  <si>
    <t>ĐẤT DÂN DỤNG</t>
  </si>
  <si>
    <t>Đất công cộng đô thị</t>
  </si>
  <si>
    <t>Đất công cộng đơn vị ở</t>
  </si>
  <si>
    <t>Đất ở mới</t>
  </si>
  <si>
    <t>Đất ở sinh thái mật độ thấp</t>
  </si>
  <si>
    <t>Đất ở hiện trạng</t>
  </si>
  <si>
    <t>Đất trường THPT</t>
  </si>
  <si>
    <t>Đất công cộng</t>
  </si>
  <si>
    <t>Đất cây xanh</t>
  </si>
  <si>
    <t>1.1.2</t>
  </si>
  <si>
    <t>1.4</t>
  </si>
  <si>
    <t>1.4.1</t>
  </si>
  <si>
    <t>1.4.2</t>
  </si>
  <si>
    <t>ĐẤT NGOÀI DÂN DỤNG</t>
  </si>
  <si>
    <t>Đất y tế</t>
  </si>
  <si>
    <t>Đất ở hỗn hợp</t>
  </si>
  <si>
    <t>Đất tôn giáo di tích</t>
  </si>
  <si>
    <t>Đất trung tậm nghiên cứu đào tạo</t>
  </si>
  <si>
    <t>Đất du lịch sinh thái</t>
  </si>
  <si>
    <t>Đất cây xanh TDTT</t>
  </si>
  <si>
    <t>Đất cây xanh cảnh quan</t>
  </si>
  <si>
    <t>Đất cây xanh chuyên đề</t>
  </si>
  <si>
    <t>Đất công trình đầu mối HTKT</t>
  </si>
  <si>
    <t>Đất mặt nước</t>
  </si>
  <si>
    <t>2.6</t>
  </si>
  <si>
    <t>2.7</t>
  </si>
  <si>
    <t>2.8</t>
  </si>
  <si>
    <t>2.9</t>
  </si>
  <si>
    <t>2.10</t>
  </si>
  <si>
    <t>2.11</t>
  </si>
  <si>
    <t>2.12</t>
  </si>
  <si>
    <t>2.9.1</t>
  </si>
  <si>
    <t>2.9.2</t>
  </si>
  <si>
    <t>2.9.3</t>
  </si>
  <si>
    <t>2.9.4</t>
  </si>
  <si>
    <t>BẢNG TỔNG HỢP QUY HOẠCH CƠ CẤU SỬ DỤNG ĐẮT</t>
  </si>
  <si>
    <t>DIỆN TÍCH
(HA)</t>
  </si>
  <si>
    <t>DIỆN TÍCH
(M2)</t>
  </si>
  <si>
    <t>CC</t>
  </si>
  <si>
    <t>CCDT</t>
  </si>
  <si>
    <t>OM</t>
  </si>
  <si>
    <t>THPT</t>
  </si>
  <si>
    <t>CXDT</t>
  </si>
  <si>
    <t>CX</t>
  </si>
  <si>
    <t>YT</t>
  </si>
  <si>
    <t>HH</t>
  </si>
  <si>
    <t>TTGD</t>
  </si>
  <si>
    <t>QP</t>
  </si>
  <si>
    <t>CX_TDTT</t>
  </si>
  <si>
    <t>CXCL</t>
  </si>
  <si>
    <t>CXCQ</t>
  </si>
  <si>
    <t>CXCD</t>
  </si>
  <si>
    <t>HTKT</t>
  </si>
  <si>
    <t>STT</t>
  </si>
  <si>
    <t>CHỨC NĂNG SỬ DỤNG ĐẤT</t>
  </si>
  <si>
    <t>TỶ LỆ (%)</t>
  </si>
  <si>
    <t xml:space="preserve">Đất nhóm nhà ở </t>
  </si>
  <si>
    <t>Đất làng xóm, dân cư nông thôn</t>
  </si>
  <si>
    <t>Đất văn hóa</t>
  </si>
  <si>
    <t xml:space="preserve">Đất thể dục thể thao </t>
  </si>
  <si>
    <t>Đất trường THCS, Tiểu học, Mầm non</t>
  </si>
  <si>
    <t>Đất cây xanh sử dụng hạn chế</t>
  </si>
  <si>
    <t>Đất cây xanh chuyên dụng</t>
  </si>
  <si>
    <t>Đất sản xuất công nghiệp, kho bãi</t>
  </si>
  <si>
    <t>Đất đào tạo, nghiên cứu</t>
  </si>
  <si>
    <t xml:space="preserve">Đất cơ quan, trụ sở </t>
  </si>
  <si>
    <t>Đất khu dịch vụ</t>
  </si>
  <si>
    <t>Đất khu dịch vụ du lịch</t>
  </si>
  <si>
    <t>Đất di tích, tôn giáo</t>
  </si>
  <si>
    <t>Đất an ninh</t>
  </si>
  <si>
    <t>Đất quốc phòng</t>
  </si>
  <si>
    <t xml:space="preserve">Đất bãi đỗ xe </t>
  </si>
  <si>
    <t xml:space="preserve">Đất hạ tầng kỹ thuật khác </t>
  </si>
  <si>
    <t>Hồ, ao, đầm</t>
  </si>
  <si>
    <t>Sông, suối, kênh, rạch</t>
  </si>
  <si>
    <t>TỔNG DIỆN TÍCH LẬP QUY HOẠCH</t>
  </si>
  <si>
    <t>BẢNG TỔNG HỢP CƠ CẤU QUY HOẠCH SỬ DỤNG ĐẤT</t>
  </si>
  <si>
    <t>OHT</t>
  </si>
  <si>
    <t>VH</t>
  </si>
  <si>
    <t>TDTT</t>
  </si>
  <si>
    <t>CXCC</t>
  </si>
  <si>
    <t>CXHC</t>
  </si>
  <si>
    <t>DV</t>
  </si>
  <si>
    <t>AN</t>
  </si>
  <si>
    <t>BDX</t>
  </si>
  <si>
    <t>Đất giáo dục</t>
  </si>
  <si>
    <t>Đất cây xanh sử dụng công cộng</t>
  </si>
  <si>
    <t xml:space="preserve">Mặt nước </t>
  </si>
  <si>
    <t>GD</t>
  </si>
  <si>
    <t>DÂN SỐ (NGƯỜI)</t>
  </si>
  <si>
    <t>TIỂU KHU 1</t>
  </si>
  <si>
    <t>BẢNG TÍNH TOÁN CHI TIẾT CƠ CẤU SỬ DỤNG ĐẤT</t>
  </si>
  <si>
    <t>MẬT ĐỘ XÂY DỰNG  (%)</t>
  </si>
  <si>
    <t xml:space="preserve">DIỆN TÍCH XÂY DỰNG TỐI ĐA (HA) </t>
  </si>
  <si>
    <t>DIỆN TÍCH SÀN (HA)</t>
  </si>
  <si>
    <t>HỆ SỐ SDĐ (LẦN)</t>
  </si>
  <si>
    <t>HANDLE</t>
  </si>
  <si>
    <t>BLOCKNAME</t>
  </si>
  <si>
    <t>DT</t>
  </si>
  <si>
    <t>MD</t>
  </si>
  <si>
    <t>TC</t>
  </si>
  <si>
    <t>A</t>
  </si>
  <si>
    <t>'2370E4</t>
  </si>
  <si>
    <t>KH</t>
  </si>
  <si>
    <t>HTKT III.03</t>
  </si>
  <si>
    <t>'2370DE</t>
  </si>
  <si>
    <t>HTKT III.02</t>
  </si>
  <si>
    <t>'237089</t>
  </si>
  <si>
    <t>CXHC III.04</t>
  </si>
  <si>
    <t>'236FA0</t>
  </si>
  <si>
    <t>-</t>
  </si>
  <si>
    <t>MN II.02</t>
  </si>
  <si>
    <t>'236F21</t>
  </si>
  <si>
    <t>CXCQ III.08</t>
  </si>
  <si>
    <t>'236F1B</t>
  </si>
  <si>
    <t>CXCQ III.07</t>
  </si>
  <si>
    <t>'236F15</t>
  </si>
  <si>
    <t>CXCQ III.02</t>
  </si>
  <si>
    <t>'236F0F</t>
  </si>
  <si>
    <t>CXCQ II.01</t>
  </si>
  <si>
    <t>'236EBA</t>
  </si>
  <si>
    <t>GD II.06</t>
  </si>
  <si>
    <t>'236E68</t>
  </si>
  <si>
    <t>OM III.10</t>
  </si>
  <si>
    <t>'236E62</t>
  </si>
  <si>
    <t>OM III.09</t>
  </si>
  <si>
    <t>'236E5C</t>
  </si>
  <si>
    <t>OM III.02</t>
  </si>
  <si>
    <t>'230D70</t>
  </si>
  <si>
    <t>OM III.07</t>
  </si>
  <si>
    <t>'2312BE</t>
  </si>
  <si>
    <t>GD II.02</t>
  </si>
  <si>
    <t>'231269</t>
  </si>
  <si>
    <t>GD III.03</t>
  </si>
  <si>
    <t>'231263</t>
  </si>
  <si>
    <t>GD III.02</t>
  </si>
  <si>
    <t>'23125D</t>
  </si>
  <si>
    <t>GD III.01</t>
  </si>
  <si>
    <t>'231254</t>
  </si>
  <si>
    <t>OST III.02</t>
  </si>
  <si>
    <t>'231248</t>
  </si>
  <si>
    <t>OST III.01</t>
  </si>
  <si>
    <t>'231242</t>
  </si>
  <si>
    <t>MN II.04</t>
  </si>
  <si>
    <t>'23123C</t>
  </si>
  <si>
    <t>MN III.05</t>
  </si>
  <si>
    <t>'231230</t>
  </si>
  <si>
    <t>MN III.04</t>
  </si>
  <si>
    <t>'23122A</t>
  </si>
  <si>
    <t>MN III.03</t>
  </si>
  <si>
    <t>'231224</t>
  </si>
  <si>
    <t>MN III.02</t>
  </si>
  <si>
    <t>'23121E</t>
  </si>
  <si>
    <t>MN III.01</t>
  </si>
  <si>
    <t>'2311C9</t>
  </si>
  <si>
    <t>CXCC III.05</t>
  </si>
  <si>
    <t>'2311C3</t>
  </si>
  <si>
    <t>CXCC III.04</t>
  </si>
  <si>
    <t>'2311B7</t>
  </si>
  <si>
    <t>CXCC III.03</t>
  </si>
  <si>
    <t>'2311B1</t>
  </si>
  <si>
    <t>CXCC III.02</t>
  </si>
  <si>
    <t>'2311AB</t>
  </si>
  <si>
    <t>CXCC III.01</t>
  </si>
  <si>
    <t>'2311A2</t>
  </si>
  <si>
    <t>CXHC III.05</t>
  </si>
  <si>
    <t>'23119C</t>
  </si>
  <si>
    <t>CXHC III.03</t>
  </si>
  <si>
    <t>'231196</t>
  </si>
  <si>
    <t>CXHC III.02</t>
  </si>
  <si>
    <t>'231190</t>
  </si>
  <si>
    <t>CXHC III.01</t>
  </si>
  <si>
    <t>'231181</t>
  </si>
  <si>
    <t>CXCD III.02</t>
  </si>
  <si>
    <t>'23117B</t>
  </si>
  <si>
    <t>CXCD III.01</t>
  </si>
  <si>
    <t>'231175</t>
  </si>
  <si>
    <t>CXCD II.01</t>
  </si>
  <si>
    <t>'23116F</t>
  </si>
  <si>
    <t>CXCD II.03</t>
  </si>
  <si>
    <t>'231163</t>
  </si>
  <si>
    <t>CXCD II.02</t>
  </si>
  <si>
    <t>'23115D</t>
  </si>
  <si>
    <t>CXCD I.04</t>
  </si>
  <si>
    <t>'231157</t>
  </si>
  <si>
    <t>CXCD I.03</t>
  </si>
  <si>
    <t>'231151</t>
  </si>
  <si>
    <t>CXCD I.02</t>
  </si>
  <si>
    <t>'23114B</t>
  </si>
  <si>
    <t>CXCD I.01</t>
  </si>
  <si>
    <t>'231133</t>
  </si>
  <si>
    <t>MN II.03</t>
  </si>
  <si>
    <t>'23112D</t>
  </si>
  <si>
    <t>CXCC II.02</t>
  </si>
  <si>
    <t>'231127</t>
  </si>
  <si>
    <t>MN II.01</t>
  </si>
  <si>
    <t>'231121</t>
  </si>
  <si>
    <t>CXCQ III.10</t>
  </si>
  <si>
    <t>'23111B</t>
  </si>
  <si>
    <t>CXCQ III.09</t>
  </si>
  <si>
    <t>'231115</t>
  </si>
  <si>
    <t>CXCQ III.06</t>
  </si>
  <si>
    <t>'23110F</t>
  </si>
  <si>
    <t>CXCQ III.05</t>
  </si>
  <si>
    <t>'231109</t>
  </si>
  <si>
    <t>CXCQ III.03</t>
  </si>
  <si>
    <t>'231103</t>
  </si>
  <si>
    <t>CXCQ III.04</t>
  </si>
  <si>
    <t>'2310FD</t>
  </si>
  <si>
    <t>CXCQ III.01</t>
  </si>
  <si>
    <t>'2310F1</t>
  </si>
  <si>
    <t>CXCQ II.03</t>
  </si>
  <si>
    <t>'2310E8</t>
  </si>
  <si>
    <t>CXCQ II.04</t>
  </si>
  <si>
    <t>'2310E2</t>
  </si>
  <si>
    <t>CXCQ II.02</t>
  </si>
  <si>
    <t>'2310CD</t>
  </si>
  <si>
    <t>TDTT II.02</t>
  </si>
  <si>
    <t>'2310C7</t>
  </si>
  <si>
    <t>TDTT II.01</t>
  </si>
  <si>
    <t>'2310C1</t>
  </si>
  <si>
    <t>CXCC II.09</t>
  </si>
  <si>
    <t>'2310B8</t>
  </si>
  <si>
    <t>CQ II.03</t>
  </si>
  <si>
    <t>'2310AC</t>
  </si>
  <si>
    <t>CXCC II.08</t>
  </si>
  <si>
    <t>'2310A6</t>
  </si>
  <si>
    <t>CXCC II.07</t>
  </si>
  <si>
    <t>'2310A0</t>
  </si>
  <si>
    <t>CXCC II.05</t>
  </si>
  <si>
    <t>'23109A</t>
  </si>
  <si>
    <t>CXCC II.06</t>
  </si>
  <si>
    <t>'231094</t>
  </si>
  <si>
    <t>CXCC II.03</t>
  </si>
  <si>
    <t>'23108E</t>
  </si>
  <si>
    <t>CXCC II.04</t>
  </si>
  <si>
    <t>'231088</t>
  </si>
  <si>
    <t>CXCC II.01</t>
  </si>
  <si>
    <t>'231082</t>
  </si>
  <si>
    <t>VH III.02</t>
  </si>
  <si>
    <t>'231079</t>
  </si>
  <si>
    <t>VH III.03</t>
  </si>
  <si>
    <t>'231073</t>
  </si>
  <si>
    <t>VH III.01</t>
  </si>
  <si>
    <t>'23106D</t>
  </si>
  <si>
    <t>TTÐT</t>
  </si>
  <si>
    <t>'23101B</t>
  </si>
  <si>
    <t>'230FFA</t>
  </si>
  <si>
    <t>'230FF1</t>
  </si>
  <si>
    <t>CA III.03</t>
  </si>
  <si>
    <t>'230FEB</t>
  </si>
  <si>
    <t>CA III.02</t>
  </si>
  <si>
    <t>'230FE5</t>
  </si>
  <si>
    <t>CA III.01</t>
  </si>
  <si>
    <t>'230FD6</t>
  </si>
  <si>
    <t>TMDV III.02</t>
  </si>
  <si>
    <t>'230FCA</t>
  </si>
  <si>
    <t>TMDV III.01</t>
  </si>
  <si>
    <t>'230FBE</t>
  </si>
  <si>
    <t>TMDV II.03</t>
  </si>
  <si>
    <t>'230FB8</t>
  </si>
  <si>
    <t>TMDV II.02</t>
  </si>
  <si>
    <t>'230FB2</t>
  </si>
  <si>
    <t>TMDV II.01</t>
  </si>
  <si>
    <t>'230FA6</t>
  </si>
  <si>
    <t>GD II.07</t>
  </si>
  <si>
    <t>'230FA0</t>
  </si>
  <si>
    <t>GD II.05</t>
  </si>
  <si>
    <t>'230F9A</t>
  </si>
  <si>
    <t>GD II.04</t>
  </si>
  <si>
    <t>'230F94</t>
  </si>
  <si>
    <t>GD II.03</t>
  </si>
  <si>
    <t>'230F8E</t>
  </si>
  <si>
    <t>GD II.01</t>
  </si>
  <si>
    <t>'230F88</t>
  </si>
  <si>
    <t>CXCQ I.05</t>
  </si>
  <si>
    <t>'230F82</t>
  </si>
  <si>
    <t>CXCQ I.04</t>
  </si>
  <si>
    <t>'230F7C</t>
  </si>
  <si>
    <t>CXCQ I.03</t>
  </si>
  <si>
    <t>'230F76</t>
  </si>
  <si>
    <t>CXCQ I.02</t>
  </si>
  <si>
    <t>'230F70</t>
  </si>
  <si>
    <t>CXCQ I.01</t>
  </si>
  <si>
    <t>'230F6A</t>
  </si>
  <si>
    <t>MN I.02</t>
  </si>
  <si>
    <t>'230F64</t>
  </si>
  <si>
    <t>MN I.01</t>
  </si>
  <si>
    <t>'230F5E</t>
  </si>
  <si>
    <t>CXCC I.06</t>
  </si>
  <si>
    <t>'230F58</t>
  </si>
  <si>
    <t>CXCC I.05</t>
  </si>
  <si>
    <t>'230F52</t>
  </si>
  <si>
    <t>CXCC I.04</t>
  </si>
  <si>
    <t>'230F4C</t>
  </si>
  <si>
    <t>CXCC I.03</t>
  </si>
  <si>
    <t>'230F46</t>
  </si>
  <si>
    <t>CXCC I.02</t>
  </si>
  <si>
    <t>'230F40</t>
  </si>
  <si>
    <t>CXCC I.01</t>
  </si>
  <si>
    <t>'230EEB</t>
  </si>
  <si>
    <t>BX III.02</t>
  </si>
  <si>
    <t>'230EE5</t>
  </si>
  <si>
    <t>BX III.01</t>
  </si>
  <si>
    <t>'230EDF</t>
  </si>
  <si>
    <t>BX II.01</t>
  </si>
  <si>
    <t>'230ED9</t>
  </si>
  <si>
    <t>HTKT III.05</t>
  </si>
  <si>
    <t>'230ED3</t>
  </si>
  <si>
    <t>HTKT III.04</t>
  </si>
  <si>
    <t>'230ECD</t>
  </si>
  <si>
    <t>HTKT III.01</t>
  </si>
  <si>
    <t>'230EC7</t>
  </si>
  <si>
    <t>HTKT I.01</t>
  </si>
  <si>
    <t>'230EC1</t>
  </si>
  <si>
    <t>CN III.06</t>
  </si>
  <si>
    <t>'230EBB</t>
  </si>
  <si>
    <t>CN III.05</t>
  </si>
  <si>
    <t>'230EB5</t>
  </si>
  <si>
    <t>CN III.03</t>
  </si>
  <si>
    <t>'230EAF</t>
  </si>
  <si>
    <t>CN III.04</t>
  </si>
  <si>
    <t>'230EA9</t>
  </si>
  <si>
    <t>CN III.01</t>
  </si>
  <si>
    <t>'230E9D</t>
  </si>
  <si>
    <t>CN III.02</t>
  </si>
  <si>
    <t>'230E97</t>
  </si>
  <si>
    <t>CN II.02</t>
  </si>
  <si>
    <t>'230E91</t>
  </si>
  <si>
    <t>CN II.01</t>
  </si>
  <si>
    <t>'230E8B</t>
  </si>
  <si>
    <t>CN I.04</t>
  </si>
  <si>
    <t>'230E85</t>
  </si>
  <si>
    <t>CN I.03</t>
  </si>
  <si>
    <t>'230E7F</t>
  </si>
  <si>
    <t>CN I.02</t>
  </si>
  <si>
    <t>'230E79</t>
  </si>
  <si>
    <t>CN I.01</t>
  </si>
  <si>
    <t>'230E73</t>
  </si>
  <si>
    <t>GD I.01</t>
  </si>
  <si>
    <t>'230E6D</t>
  </si>
  <si>
    <t>DVDL</t>
  </si>
  <si>
    <t>'230E67</t>
  </si>
  <si>
    <t>YT III.01</t>
  </si>
  <si>
    <t>'230E61</t>
  </si>
  <si>
    <t>YT I.02</t>
  </si>
  <si>
    <t>'230E5B</t>
  </si>
  <si>
    <t>YT I.01</t>
  </si>
  <si>
    <t>'230E09</t>
  </si>
  <si>
    <t>CQ III.04</t>
  </si>
  <si>
    <t>'230E03</t>
  </si>
  <si>
    <t>CQ III.03</t>
  </si>
  <si>
    <t>'230DFD</t>
  </si>
  <si>
    <t>CQ III.02</t>
  </si>
  <si>
    <t>'230DF7</t>
  </si>
  <si>
    <t>CQ III.01</t>
  </si>
  <si>
    <t>'230DE5</t>
  </si>
  <si>
    <t>CQ II.02</t>
  </si>
  <si>
    <t>'230DDF</t>
  </si>
  <si>
    <t>CQ II.01</t>
  </si>
  <si>
    <t>'230DD9</t>
  </si>
  <si>
    <t>CQ I.01</t>
  </si>
  <si>
    <t>'230DD0</t>
  </si>
  <si>
    <t>HH III.03</t>
  </si>
  <si>
    <t>'230DC4</t>
  </si>
  <si>
    <t>HH III.02</t>
  </si>
  <si>
    <t>'230DBE</t>
  </si>
  <si>
    <t>HH III.01</t>
  </si>
  <si>
    <t>'230DB8</t>
  </si>
  <si>
    <t>HH II.01</t>
  </si>
  <si>
    <t>'230DB2</t>
  </si>
  <si>
    <t>HH I.01</t>
  </si>
  <si>
    <t>'230DA6</t>
  </si>
  <si>
    <t>OM III.15</t>
  </si>
  <si>
    <t>'230DA0</t>
  </si>
  <si>
    <t>OM III.14</t>
  </si>
  <si>
    <t>'230D9A</t>
  </si>
  <si>
    <t>OM III.13</t>
  </si>
  <si>
    <t>'230D94</t>
  </si>
  <si>
    <t>OM III.12</t>
  </si>
  <si>
    <t>'230D8E</t>
  </si>
  <si>
    <t>OM III.11</t>
  </si>
  <si>
    <t>'230D76</t>
  </si>
  <si>
    <t>OM III.08</t>
  </si>
  <si>
    <t>'230D64</t>
  </si>
  <si>
    <t>OM III.04</t>
  </si>
  <si>
    <t>'230D5E</t>
  </si>
  <si>
    <t>OM III.06</t>
  </si>
  <si>
    <t>'230D58</t>
  </si>
  <si>
    <t>OM III.05</t>
  </si>
  <si>
    <t>'230D52</t>
  </si>
  <si>
    <t>OM III.03</t>
  </si>
  <si>
    <t>'230D4C</t>
  </si>
  <si>
    <t>OM III.01</t>
  </si>
  <si>
    <t>'230D46</t>
  </si>
  <si>
    <t>'230D40</t>
  </si>
  <si>
    <t>'230D3A</t>
  </si>
  <si>
    <t>'230D34</t>
  </si>
  <si>
    <t>'230D2E</t>
  </si>
  <si>
    <t>'230D28</t>
  </si>
  <si>
    <t>'230D22</t>
  </si>
  <si>
    <t>OM II.18</t>
  </si>
  <si>
    <t>'230D1C</t>
  </si>
  <si>
    <t>OM II.17</t>
  </si>
  <si>
    <t>'230D16</t>
  </si>
  <si>
    <t>OM II.16</t>
  </si>
  <si>
    <t>'230D10</t>
  </si>
  <si>
    <t>OM II.15</t>
  </si>
  <si>
    <t>'230D0A</t>
  </si>
  <si>
    <t>OM II.14</t>
  </si>
  <si>
    <t>'230D04</t>
  </si>
  <si>
    <t>OM II.06</t>
  </si>
  <si>
    <t>'230CFE</t>
  </si>
  <si>
    <t>OM II.13</t>
  </si>
  <si>
    <t>'230CF8</t>
  </si>
  <si>
    <t>OM II.05</t>
  </si>
  <si>
    <t>'230CF2</t>
  </si>
  <si>
    <t>OM II.04</t>
  </si>
  <si>
    <t>'230CEC</t>
  </si>
  <si>
    <t>OM II.02</t>
  </si>
  <si>
    <t>'230CE6</t>
  </si>
  <si>
    <t>OM II.03</t>
  </si>
  <si>
    <t>'230CE0</t>
  </si>
  <si>
    <t>OM II.01</t>
  </si>
  <si>
    <t>'230CDA</t>
  </si>
  <si>
    <t>OM I.06</t>
  </si>
  <si>
    <t>'230CD4</t>
  </si>
  <si>
    <t>OM I.05</t>
  </si>
  <si>
    <t>'230CCE</t>
  </si>
  <si>
    <t>OM I.04</t>
  </si>
  <si>
    <t>'230CC8</t>
  </si>
  <si>
    <t>OM I.03</t>
  </si>
  <si>
    <t>'230CC2</t>
  </si>
  <si>
    <t>OM I.02</t>
  </si>
  <si>
    <t>'230CBC</t>
  </si>
  <si>
    <t>OM I.01</t>
  </si>
  <si>
    <t>'230358</t>
  </si>
  <si>
    <t>OHT III.16</t>
  </si>
  <si>
    <t>'230352</t>
  </si>
  <si>
    <t>OHT III.25</t>
  </si>
  <si>
    <t>'23034C</t>
  </si>
  <si>
    <t>OHT III.24</t>
  </si>
  <si>
    <t>'230346</t>
  </si>
  <si>
    <t>OHT III.23</t>
  </si>
  <si>
    <t>'230340</t>
  </si>
  <si>
    <t>OHT III.22</t>
  </si>
  <si>
    <t>'23033A</t>
  </si>
  <si>
    <t>OHT III.21</t>
  </si>
  <si>
    <t>'230334</t>
  </si>
  <si>
    <t>OHT III.20</t>
  </si>
  <si>
    <t>'23032E</t>
  </si>
  <si>
    <t>OHT III.19</t>
  </si>
  <si>
    <t>'230328</t>
  </si>
  <si>
    <t>OHT III.18</t>
  </si>
  <si>
    <t>'230322</t>
  </si>
  <si>
    <t>OHT III.17</t>
  </si>
  <si>
    <t>'23031C</t>
  </si>
  <si>
    <t>OHT III.13</t>
  </si>
  <si>
    <t>'230316</t>
  </si>
  <si>
    <t>OHT III.14</t>
  </si>
  <si>
    <t>'230310</t>
  </si>
  <si>
    <t>OHT III.12</t>
  </si>
  <si>
    <t>'23030A</t>
  </si>
  <si>
    <t>OHT III.15</t>
  </si>
  <si>
    <t>'230304</t>
  </si>
  <si>
    <t>OHT III.06</t>
  </si>
  <si>
    <t>'2302FE</t>
  </si>
  <si>
    <t>OHT III.05</t>
  </si>
  <si>
    <t>'2302F8</t>
  </si>
  <si>
    <t>OHT III.07</t>
  </si>
  <si>
    <t>'2302F2</t>
  </si>
  <si>
    <t>OHT III.10</t>
  </si>
  <si>
    <t>'2302EC</t>
  </si>
  <si>
    <t>OHT III.11</t>
  </si>
  <si>
    <t>'2302E6</t>
  </si>
  <si>
    <t>OHT III.09</t>
  </si>
  <si>
    <t>'2302E0</t>
  </si>
  <si>
    <t>OHT III.08</t>
  </si>
  <si>
    <t>'2302DA</t>
  </si>
  <si>
    <t>OHT III.04</t>
  </si>
  <si>
    <t>'2302D4</t>
  </si>
  <si>
    <t>OHT III.03</t>
  </si>
  <si>
    <t>'2302CE</t>
  </si>
  <si>
    <t>OHT III.02</t>
  </si>
  <si>
    <t>'2302C8</t>
  </si>
  <si>
    <t>OHT III.01</t>
  </si>
  <si>
    <t>'230276</t>
  </si>
  <si>
    <t>OHT II.14</t>
  </si>
  <si>
    <t>'230270</t>
  </si>
  <si>
    <t>OHT II.15</t>
  </si>
  <si>
    <t>'23026A</t>
  </si>
  <si>
    <t>OHT II.16</t>
  </si>
  <si>
    <t>'230264</t>
  </si>
  <si>
    <t>OHT II.17</t>
  </si>
  <si>
    <t>'23025E</t>
  </si>
  <si>
    <t>OHT II.13</t>
  </si>
  <si>
    <t>'230258</t>
  </si>
  <si>
    <t>OHT II.11</t>
  </si>
  <si>
    <t>'230252</t>
  </si>
  <si>
    <t>OHT II.12</t>
  </si>
  <si>
    <t>'23024C</t>
  </si>
  <si>
    <t>OHT II.10</t>
  </si>
  <si>
    <t>'230246</t>
  </si>
  <si>
    <t>OHT II.09</t>
  </si>
  <si>
    <t>'230240</t>
  </si>
  <si>
    <t>OHT II.08</t>
  </si>
  <si>
    <t>'23023A</t>
  </si>
  <si>
    <t>OHT II.07</t>
  </si>
  <si>
    <t>'230234</t>
  </si>
  <si>
    <t>OHT II.06</t>
  </si>
  <si>
    <t>'23022E</t>
  </si>
  <si>
    <t>OHT II.05</t>
  </si>
  <si>
    <t>'230228</t>
  </si>
  <si>
    <t>OHT II.04</t>
  </si>
  <si>
    <t>'230222</t>
  </si>
  <si>
    <t>OHT II.03</t>
  </si>
  <si>
    <t>'23021C</t>
  </si>
  <si>
    <t>OHT II.02</t>
  </si>
  <si>
    <t>'230216</t>
  </si>
  <si>
    <t>OHT II.01</t>
  </si>
  <si>
    <t>'230210</t>
  </si>
  <si>
    <t>OHT I.16</t>
  </si>
  <si>
    <t>'23020A</t>
  </si>
  <si>
    <t>OHT I.15</t>
  </si>
  <si>
    <t>'230204</t>
  </si>
  <si>
    <t>OHT I.14</t>
  </si>
  <si>
    <t>'2301FE</t>
  </si>
  <si>
    <t>OHT I.13</t>
  </si>
  <si>
    <t>'2301F8</t>
  </si>
  <si>
    <t>OHT I.12</t>
  </si>
  <si>
    <t>'2301F2</t>
  </si>
  <si>
    <t>OHT I.11</t>
  </si>
  <si>
    <t>'2301EC</t>
  </si>
  <si>
    <t>OHT I.10</t>
  </si>
  <si>
    <t>'2301E6</t>
  </si>
  <si>
    <t>OHT I.06</t>
  </si>
  <si>
    <t>'2301E0</t>
  </si>
  <si>
    <t>OHT I.08</t>
  </si>
  <si>
    <t>'2301DA</t>
  </si>
  <si>
    <t>OHT I.09</t>
  </si>
  <si>
    <t>'2301D4</t>
  </si>
  <si>
    <t>OHT I.07</t>
  </si>
  <si>
    <t>'2301CE</t>
  </si>
  <si>
    <t>OHT I.05</t>
  </si>
  <si>
    <t>'2301C8</t>
  </si>
  <si>
    <t>OHT I.04</t>
  </si>
  <si>
    <t>'2301C2</t>
  </si>
  <si>
    <t>OHT I.02</t>
  </si>
  <si>
    <t>'2301BC</t>
  </si>
  <si>
    <t>OHT I.03</t>
  </si>
  <si>
    <t>'2300E8</t>
  </si>
  <si>
    <t>OHT I.01</t>
  </si>
  <si>
    <t>TIỂU KHU 2</t>
  </si>
  <si>
    <t>OM II.07</t>
  </si>
  <si>
    <t>OM II.08</t>
  </si>
  <si>
    <t>OM II.09</t>
  </si>
  <si>
    <t>OM II.10</t>
  </si>
  <si>
    <t>OM II.11</t>
  </si>
  <si>
    <t>OM II.12</t>
  </si>
  <si>
    <t xml:space="preserve">TIỂU KHU 3 </t>
  </si>
  <si>
    <t>Đất đơn vị ở</t>
  </si>
  <si>
    <t>KHU ĐẤT DÂN DỤNG</t>
  </si>
  <si>
    <t>KHU ĐẤT NGOÀI DÂN DỤNG</t>
  </si>
  <si>
    <t>Đất cây xanh sử dụng công cộng cấp đô thị</t>
  </si>
  <si>
    <t>OHT II.18</t>
  </si>
  <si>
    <t>OHT III.26</t>
  </si>
  <si>
    <t>CXDT I.01</t>
  </si>
  <si>
    <t>CXDT I.02</t>
  </si>
  <si>
    <t>CXDT I.03</t>
  </si>
  <si>
    <t>CXDT I.04</t>
  </si>
  <si>
    <t>CXDT I.05</t>
  </si>
  <si>
    <t>DV I.01</t>
  </si>
  <si>
    <t xml:space="preserve">ĐẤT GIAO THÔNG </t>
  </si>
  <si>
    <t>I</t>
  </si>
  <si>
    <t>II</t>
  </si>
  <si>
    <t>III</t>
  </si>
  <si>
    <t>CXDT II.01</t>
  </si>
  <si>
    <t>CXDT II.02</t>
  </si>
  <si>
    <t>CXDT II.03</t>
  </si>
  <si>
    <t>CXDT II.04</t>
  </si>
  <si>
    <t>DV II.01</t>
  </si>
  <si>
    <t>DV II.02</t>
  </si>
  <si>
    <t>DV II.03</t>
  </si>
  <si>
    <t>Đất giáo dục cấp đô thị</t>
  </si>
  <si>
    <t>CXCQ II.05</t>
  </si>
  <si>
    <t>Đất cơ quan, trụ sở cấp đô thị</t>
  </si>
  <si>
    <t>CXDT III.01</t>
  </si>
  <si>
    <t>CXDT III.02</t>
  </si>
  <si>
    <t>DV III.01</t>
  </si>
  <si>
    <t>DV III.02</t>
  </si>
  <si>
    <t>IV</t>
  </si>
  <si>
    <t xml:space="preserve">KHU ĐẤT CHỨC NĂNG KHÁC </t>
  </si>
  <si>
    <t>DV III.03</t>
  </si>
  <si>
    <t>DV III.04</t>
  </si>
  <si>
    <t xml:space="preserve">KHU ĐẤT DÂN DỤNG </t>
  </si>
  <si>
    <t>Đất giáo dục (trường THCS, Tiểu học, Mầm non)</t>
  </si>
  <si>
    <t xml:space="preserve">Đất cây xanh sử dụng công cộng </t>
  </si>
  <si>
    <t xml:space="preserve">Đất y tế </t>
  </si>
  <si>
    <t xml:space="preserve">Đất cơ quan, trụ sở cấp đô thị </t>
  </si>
  <si>
    <t xml:space="preserve">Đất cây xanh sử dụng công cộng cấp đô thị </t>
  </si>
  <si>
    <t xml:space="preserve">Đất giáo dục cấp đô thị (trường THPT) </t>
  </si>
  <si>
    <t xml:space="preserve">KHU ĐẤT NGOÀI DÂN DỤNG </t>
  </si>
  <si>
    <t>TTDT</t>
  </si>
  <si>
    <t>GHI CHÚ</t>
  </si>
  <si>
    <t>DV II.04</t>
  </si>
  <si>
    <t>VH II.01</t>
  </si>
  <si>
    <t>Cụm công nghiệp Hợp Thành</t>
  </si>
  <si>
    <t>Khu đô thị Mỹ Sơn</t>
  </si>
  <si>
    <t>OST III.03</t>
  </si>
  <si>
    <t xml:space="preserve">Khu dân cư CCN Hợp Thành </t>
  </si>
  <si>
    <t xml:space="preserve">Khu dân cư khối 3 TT Cao Lộc </t>
  </si>
  <si>
    <t xml:space="preserve">Khu dân cư khối 1 TT Cao Lộc </t>
  </si>
  <si>
    <t>Bệnh viện đa khoa tỉnh Lạng Sơn</t>
  </si>
  <si>
    <t>DÂN SỐ (người)</t>
  </si>
  <si>
    <t>DIỆN TÍCH (m2)</t>
  </si>
  <si>
    <t>DIỆN TÍCH (ha)</t>
  </si>
  <si>
    <t>m2/người</t>
  </si>
  <si>
    <t>trường THPT</t>
  </si>
  <si>
    <t>m2/học sinh</t>
  </si>
  <si>
    <t>trường mầm non</t>
  </si>
  <si>
    <t xml:space="preserve">trường tiểu học </t>
  </si>
  <si>
    <t>trường THCS</t>
  </si>
  <si>
    <t>%</t>
  </si>
  <si>
    <t>BX II.02</t>
  </si>
  <si>
    <t>TẦNG CAO (TẦNG)</t>
  </si>
  <si>
    <t>BẢNG THỐNG KÊ CÁC CHỈ TIÊU KINH TẾ - KỸ THUẬT CỦA ĐỒ ÁN</t>
  </si>
  <si>
    <t>TDTT I.01</t>
  </si>
  <si>
    <t>TDTT I.02</t>
  </si>
  <si>
    <t xml:space="preserve">Đất văn hóa </t>
  </si>
  <si>
    <t>VH I.01</t>
  </si>
  <si>
    <t xml:space="preserve">Chỉ tiêu về quy hoạch </t>
  </si>
  <si>
    <t xml:space="preserve">Đất đơn vị ở </t>
  </si>
  <si>
    <t xml:space="preserve">Đất cây xanh đô thị </t>
  </si>
  <si>
    <t xml:space="preserve">Đất cây xanh đơn vị ở </t>
  </si>
  <si>
    <t xml:space="preserve">Đất trường mầm non </t>
  </si>
  <si>
    <t xml:space="preserve">Đất trường tiểu học </t>
  </si>
  <si>
    <t>Đất trường THCS</t>
  </si>
  <si>
    <t xml:space="preserve">Đất trường THPT </t>
  </si>
  <si>
    <t>B</t>
  </si>
  <si>
    <t xml:space="preserve">Chỉ tiêu về hạ tầng kỹ thuật </t>
  </si>
  <si>
    <t xml:space="preserve">Cấp nước </t>
  </si>
  <si>
    <t xml:space="preserve">- Nước sinh hoạt </t>
  </si>
  <si>
    <t xml:space="preserve">- Nước cấp cho công trình công cộng, dịch vụ </t>
  </si>
  <si>
    <t>- Nước tưới cây, rửa đường</t>
  </si>
  <si>
    <t xml:space="preserve">- Điện sinh hoạt </t>
  </si>
  <si>
    <t>- Điện công trình công cộng</t>
  </si>
  <si>
    <t>Thoát nước thải</t>
  </si>
  <si>
    <t>- Thuê bao di động</t>
  </si>
  <si>
    <t>- Thuê bao Internet</t>
  </si>
  <si>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12 m2/cháu</t>
    </r>
  </si>
  <si>
    <t>Nội dung</t>
  </si>
  <si>
    <t>Chỉ tiêu theo QCVN 01:2021</t>
  </si>
  <si>
    <t>Ghi chú</t>
  </si>
  <si>
    <t>NOXH</t>
  </si>
  <si>
    <t xml:space="preserve">TỔNG </t>
  </si>
  <si>
    <t xml:space="preserve">QHCT KDC Khối III TT Cao Lộc </t>
  </si>
  <si>
    <t xml:space="preserve">QHCT KDC CCN Hợp Thành </t>
  </si>
  <si>
    <t xml:space="preserve">Nhà ở công nhân </t>
  </si>
  <si>
    <t xml:space="preserve">Ở mới </t>
  </si>
  <si>
    <t>QHCT CCN Hợp Thành</t>
  </si>
  <si>
    <t>Dân số</t>
  </si>
  <si>
    <t>QHCT KĐT Mỹ Sơn</t>
  </si>
  <si>
    <t>OHT III.27</t>
  </si>
  <si>
    <t>QHCT KDC &amp; TĐC Khối I TT Cao Lộc</t>
  </si>
  <si>
    <t>Các đồ án</t>
  </si>
  <si>
    <t>CÁC ĐỒ ÁN QHCT CẬP NHẬT TRONG QHPK</t>
  </si>
  <si>
    <t>Căn cứ pháp lý</t>
  </si>
  <si>
    <t xml:space="preserve">Thông qua HĐTĐ </t>
  </si>
  <si>
    <t>Quyết định 2280/QĐ-UBND</t>
  </si>
  <si>
    <t>Ngày phê duyệt</t>
  </si>
  <si>
    <t>QCHT Bệnh viện đa khoa tỉnh Lạng Sơn</t>
  </si>
  <si>
    <t>Tái định cư</t>
  </si>
  <si>
    <t xml:space="preserve">liên cấp </t>
  </si>
  <si>
    <t xml:space="preserve">Đất ở mới </t>
  </si>
  <si>
    <t>1,1,1</t>
  </si>
  <si>
    <t>1,1,2</t>
  </si>
  <si>
    <t xml:space="preserve">Đất cây xanh khác </t>
  </si>
  <si>
    <t>trường tiểu học</t>
  </si>
  <si>
    <t xml:space="preserve">15-28 </t>
  </si>
  <si>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6 </t>
    </r>
  </si>
  <si>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2</t>
    </r>
  </si>
  <si>
    <t xml:space="preserve"> m2/người</t>
  </si>
  <si>
    <t>học sinh/1000 người</t>
  </si>
  <si>
    <t xml:space="preserve">Đơn vị </t>
  </si>
  <si>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10 </t>
    </r>
  </si>
  <si>
    <t>lít/người - ngày đêm</t>
  </si>
  <si>
    <t>W/người</t>
  </si>
  <si>
    <t>kg/người - ngày</t>
  </si>
  <si>
    <r>
      <rPr>
        <sz val="11"/>
        <color theme="1"/>
        <rFont val="Calibri"/>
        <family val="2"/>
      </rPr>
      <t>≥</t>
    </r>
    <r>
      <rPr>
        <sz val="11"/>
        <color theme="1"/>
        <rFont val="Times New Roman"/>
        <family val="1"/>
      </rPr>
      <t xml:space="preserve"> 18</t>
    </r>
  </si>
  <si>
    <t>OHT III.28</t>
  </si>
  <si>
    <t>OHT III.29</t>
  </si>
  <si>
    <t>1,1,3</t>
  </si>
  <si>
    <t>Đất hỗn hợp nhóm nhà ở và dịch vụ</t>
  </si>
  <si>
    <t>GD III.04</t>
  </si>
  <si>
    <t>CQ III.05</t>
  </si>
  <si>
    <t>CQ III.06</t>
  </si>
  <si>
    <t>Nước sinh hoạt</t>
  </si>
  <si>
    <t xml:space="preserve">Điện sinh hoạt </t>
  </si>
  <si>
    <t xml:space="preserve">Đất dân dụng bình quân toàn đô thị </t>
  </si>
  <si>
    <t>45-60</t>
  </si>
  <si>
    <t>Cấp nước</t>
  </si>
  <si>
    <t>1.1.3</t>
  </si>
  <si>
    <t>1.5</t>
  </si>
  <si>
    <t>OHT I.17</t>
  </si>
  <si>
    <t>OHT I.18</t>
  </si>
  <si>
    <t>OHT I.19</t>
  </si>
  <si>
    <t>OHT I.20</t>
  </si>
  <si>
    <t>OHT I.21</t>
  </si>
  <si>
    <t>VH I.02</t>
  </si>
  <si>
    <t>VH II.02</t>
  </si>
  <si>
    <t>VH II.03</t>
  </si>
  <si>
    <t>CXCD I.05</t>
  </si>
  <si>
    <t>HTKT I.02</t>
  </si>
  <si>
    <t>HTKT I.03</t>
  </si>
  <si>
    <t>CXDT III.03</t>
  </si>
  <si>
    <r>
      <rPr>
        <i/>
        <sz val="11"/>
        <color theme="1"/>
        <rFont val="Calibri"/>
        <family val="2"/>
      </rPr>
      <t>≥</t>
    </r>
    <r>
      <rPr>
        <i/>
        <sz val="11"/>
        <color theme="1"/>
        <rFont val="Times New Roman"/>
        <family val="1"/>
      </rPr>
      <t xml:space="preserve"> 80 </t>
    </r>
  </si>
  <si>
    <t>Chỉ tiêu đồ án đạt</t>
  </si>
  <si>
    <t xml:space="preserve">≥ 80% </t>
  </si>
  <si>
    <t>Chỉ tiêu đất bãi đỗ xe</t>
  </si>
  <si>
    <t>≥ 2,5</t>
  </si>
  <si>
    <t>DV III.05</t>
  </si>
  <si>
    <t>thuê bao/100 dân</t>
  </si>
  <si>
    <t>TIỂU KHU 4</t>
  </si>
  <si>
    <t>OHT III.30</t>
  </si>
  <si>
    <t>OM IV.01</t>
  </si>
  <si>
    <t>OM IV.02</t>
  </si>
  <si>
    <t>OM IV.03</t>
  </si>
  <si>
    <t>OM IV.04</t>
  </si>
  <si>
    <t>OM IV.05</t>
  </si>
  <si>
    <t>OM IV.06</t>
  </si>
  <si>
    <t>OM IV.07</t>
  </si>
  <si>
    <t>OM IV.08</t>
  </si>
  <si>
    <t>OM IV.09</t>
  </si>
  <si>
    <t>OM IV.10</t>
  </si>
  <si>
    <t>OM IV.11</t>
  </si>
  <si>
    <t>OM IV.12</t>
  </si>
  <si>
    <t>HH IV.01</t>
  </si>
  <si>
    <t>ONT IV.01</t>
  </si>
  <si>
    <t>ONT IV.02</t>
  </si>
  <si>
    <t>ONT IV.03</t>
  </si>
  <si>
    <t>ONT IV.04</t>
  </si>
  <si>
    <t>ONT IV.05</t>
  </si>
  <si>
    <t>ONT IV.06</t>
  </si>
  <si>
    <t>ONT IV.07</t>
  </si>
  <si>
    <t>ONT IV.08</t>
  </si>
  <si>
    <t>ONT IV.09</t>
  </si>
  <si>
    <t>ONT IV.10</t>
  </si>
  <si>
    <t>ONT IV.11</t>
  </si>
  <si>
    <t>ONT IV.12</t>
  </si>
  <si>
    <t>ONT IV.13</t>
  </si>
  <si>
    <t>ONT IV.14</t>
  </si>
  <si>
    <t>ONT IV.15</t>
  </si>
  <si>
    <t>ONT IV.16</t>
  </si>
  <si>
    <t>QHCT Phú Thái</t>
  </si>
  <si>
    <t>Khu đô thị mới phía Đông</t>
  </si>
  <si>
    <t>Khu đô thị Đông Kinh</t>
  </si>
  <si>
    <t>ĐCCB (QĐ số 2019 - 2018)</t>
  </si>
  <si>
    <t>GD IV.01</t>
  </si>
  <si>
    <t>GD IV.02</t>
  </si>
  <si>
    <t>CXDT IV.01</t>
  </si>
  <si>
    <t>CQ IV.02</t>
  </si>
  <si>
    <t>CQ IV.04</t>
  </si>
  <si>
    <t>YT IV.01</t>
  </si>
  <si>
    <t>TDTT IV.01</t>
  </si>
  <si>
    <t>CQ IV.01</t>
  </si>
  <si>
    <t>CQ IV.03</t>
  </si>
  <si>
    <t>CQ IV.05</t>
  </si>
  <si>
    <t>DV IV.01</t>
  </si>
  <si>
    <t>DV IV.02</t>
  </si>
  <si>
    <t>DV IV.03</t>
  </si>
  <si>
    <t>DV IV.04</t>
  </si>
  <si>
    <t>DV IV.05</t>
  </si>
  <si>
    <t>DV IV.06</t>
  </si>
  <si>
    <t>DV IV.07</t>
  </si>
  <si>
    <t>DV IV.08</t>
  </si>
  <si>
    <t>DV IV.09</t>
  </si>
  <si>
    <t>HTKT IV.02</t>
  </si>
  <si>
    <t>CXHC IV.01</t>
  </si>
  <si>
    <t>MN IV.01</t>
  </si>
  <si>
    <t>HTKT IV.01</t>
  </si>
  <si>
    <t>5,00-7,00</t>
  </si>
  <si>
    <t>VH IV.01</t>
  </si>
  <si>
    <t>1.6</t>
  </si>
  <si>
    <t>CXHC IV.02</t>
  </si>
  <si>
    <t>Chỉ tiêu không áp dụng cho dân cư phường Đông Kinh vì QHCT phường đã bố trí trường THPT Chu Văn An để phục vụ người dân trên địa bàn</t>
  </si>
  <si>
    <t>Chỉ tiêu đất dân dụng bình quân toàn đô thị chỉ tính cho 30% đất hiện trạng thuần ở, không bao gồm đất nông nghiệp gắn với đất ở</t>
  </si>
  <si>
    <t xml:space="preserve">Điều chỉnh cục bộ QHCT phường Đông Kinh </t>
  </si>
  <si>
    <t>Quyết định số 529/QĐ-UBND</t>
  </si>
  <si>
    <t>Nhà ở xã hội số 2</t>
  </si>
  <si>
    <t>Quyết định số 2267/QĐ-UBND</t>
  </si>
  <si>
    <t>Quyết định số 275/QĐ-UBND</t>
  </si>
  <si>
    <t>Quyết định số 1291/QĐ-UBND</t>
  </si>
  <si>
    <t>Quyết định số 3126/QĐ-UBND</t>
  </si>
  <si>
    <t xml:space="preserve">Quyết định số 3118/QĐ-UBND </t>
  </si>
  <si>
    <t>Nhà máy xi măng</t>
  </si>
  <si>
    <t>phường đông kinh</t>
  </si>
  <si>
    <t>phường vĩnh trại</t>
  </si>
  <si>
    <t>xã mai pha</t>
  </si>
  <si>
    <t>xã hợp thành</t>
  </si>
  <si>
    <t>NV phê duyệt</t>
  </si>
  <si>
    <t>GD III.05</t>
  </si>
  <si>
    <t>DV III.06</t>
  </si>
  <si>
    <t>2,00-9,00</t>
  </si>
  <si>
    <t>BX III.03</t>
  </si>
  <si>
    <t>Đất nghĩa trang</t>
  </si>
  <si>
    <t>CXCD III.03</t>
  </si>
  <si>
    <t>CXCD III.04</t>
  </si>
  <si>
    <t>CXCD III.05</t>
  </si>
  <si>
    <t>OM IV.13</t>
  </si>
  <si>
    <t>ONT IV.17</t>
  </si>
  <si>
    <t>ONT IV.18</t>
  </si>
  <si>
    <t>DV IV.10</t>
  </si>
  <si>
    <t>NT III.01</t>
  </si>
  <si>
    <t>NT III.02</t>
  </si>
  <si>
    <t>NT III.03</t>
  </si>
  <si>
    <t>NT</t>
  </si>
  <si>
    <t>14.1</t>
  </si>
  <si>
    <t>14.2</t>
  </si>
  <si>
    <t>14.3</t>
  </si>
  <si>
    <t>Chỉ tiêu không áp dụng cho dân cư phường Đông Kinh vì QHCT phường đã bố trí trường THCS để phục vụ người dân trên địa bàn</t>
  </si>
  <si>
    <t>DV II.05</t>
  </si>
  <si>
    <t>DV IV.11</t>
  </si>
  <si>
    <t>Cấp năng lượng và chiếu sáng</t>
  </si>
  <si>
    <t>Thoát nước thải và xử lý chất thải rắn</t>
  </si>
  <si>
    <r>
      <t xml:space="preserve">Xử lý chất thải rắn
</t>
    </r>
    <r>
      <rPr>
        <i/>
        <sz val="11"/>
        <color theme="1"/>
        <rFont val="Times New Roman"/>
        <family val="1"/>
      </rPr>
      <t xml:space="preserve">+ Thu gom chất thải rắn </t>
    </r>
  </si>
  <si>
    <t>Hạ tầng viễn thông thụ động</t>
  </si>
  <si>
    <t xml:space="preserve">Tỷ lệ đất giao thông tính đến đường phân khu vực </t>
  </si>
  <si>
    <t>5,00-15,00</t>
  </si>
  <si>
    <t>10,00-20,00</t>
  </si>
  <si>
    <t>Chỉ tiêu không áp dụng cho dân cư phường Đông Kinh vì QHCT phường đã bố trí trường TH để phục vụ người dân trên địa bàn</t>
  </si>
  <si>
    <t>C</t>
  </si>
  <si>
    <t>D</t>
  </si>
  <si>
    <t>3,00-4,00</t>
  </si>
  <si>
    <t>3,00-9,00</t>
  </si>
  <si>
    <t>'2B9186</t>
  </si>
  <si>
    <t>0.05</t>
  </si>
  <si>
    <t>'2BF30B</t>
  </si>
  <si>
    <t>0.82</t>
  </si>
  <si>
    <t>9.78</t>
  </si>
  <si>
    <t>0.17</t>
  </si>
  <si>
    <t>0.30</t>
  </si>
  <si>
    <t>'2C2680</t>
  </si>
  <si>
    <t>0.14</t>
  </si>
  <si>
    <t>'2B9198</t>
  </si>
  <si>
    <t>0.47</t>
  </si>
  <si>
    <t>'2BF9E7</t>
  </si>
  <si>
    <t>1.13</t>
  </si>
  <si>
    <t>'2BF305</t>
  </si>
  <si>
    <t>8.44</t>
  </si>
  <si>
    <t>OHT IV.02</t>
  </si>
  <si>
    <t>'2BF2FF</t>
  </si>
  <si>
    <t>3.55</t>
  </si>
  <si>
    <t>OHT IV.01</t>
  </si>
  <si>
    <t>'2BF062</t>
  </si>
  <si>
    <t>0.80</t>
  </si>
  <si>
    <t>'2BF05C</t>
  </si>
  <si>
    <t>1.17</t>
  </si>
  <si>
    <t>'2BF056</t>
  </si>
  <si>
    <t>0.91</t>
  </si>
  <si>
    <t>3.32</t>
  </si>
  <si>
    <t>'238B7F</t>
  </si>
  <si>
    <t>1.47</t>
  </si>
  <si>
    <t>'2B8968</t>
  </si>
  <si>
    <t>0.16</t>
  </si>
  <si>
    <t>'2BF050</t>
  </si>
  <si>
    <t>0.11</t>
  </si>
  <si>
    <t>'2BF04A</t>
  </si>
  <si>
    <t>0.23</t>
  </si>
  <si>
    <t>'2BF034</t>
  </si>
  <si>
    <t>0.31</t>
  </si>
  <si>
    <t>'2BE04B</t>
  </si>
  <si>
    <t>0.73</t>
  </si>
  <si>
    <t>4.48</t>
  </si>
  <si>
    <t>'2B92EE</t>
  </si>
  <si>
    <t>0.65</t>
  </si>
  <si>
    <t>CXDT IV.02</t>
  </si>
  <si>
    <t>'2B9192</t>
  </si>
  <si>
    <t>1.85</t>
  </si>
  <si>
    <t>CXDT IV.03</t>
  </si>
  <si>
    <t>'2B918C</t>
  </si>
  <si>
    <t>'2B906A</t>
  </si>
  <si>
    <t>1.36</t>
  </si>
  <si>
    <t>'2B9064</t>
  </si>
  <si>
    <t>2.49</t>
  </si>
  <si>
    <t>'2B905E</t>
  </si>
  <si>
    <t>1.30</t>
  </si>
  <si>
    <t>'2B9058</t>
  </si>
  <si>
    <t>0.62</t>
  </si>
  <si>
    <t>'2B9052</t>
  </si>
  <si>
    <t>0.75</t>
  </si>
  <si>
    <t>'2B904C</t>
  </si>
  <si>
    <t>0.88</t>
  </si>
  <si>
    <t>'2B9046</t>
  </si>
  <si>
    <t>1.09</t>
  </si>
  <si>
    <t>'2B9040</t>
  </si>
  <si>
    <t>0.22</t>
  </si>
  <si>
    <t>'2B903A</t>
  </si>
  <si>
    <t>0.40</t>
  </si>
  <si>
    <t>'2B9031</t>
  </si>
  <si>
    <t>0.76</t>
  </si>
  <si>
    <t>'2B8FDF</t>
  </si>
  <si>
    <t>0.13</t>
  </si>
  <si>
    <t>'2B8FD3</t>
  </si>
  <si>
    <t>1.87</t>
  </si>
  <si>
    <t>'2B8FCD</t>
  </si>
  <si>
    <t>0.50</t>
  </si>
  <si>
    <t>'2B8FC7</t>
  </si>
  <si>
    <t>'2B8FC1</t>
  </si>
  <si>
    <t>0.59</t>
  </si>
  <si>
    <t>'2B8FBB</t>
  </si>
  <si>
    <t>0.19</t>
  </si>
  <si>
    <t>'2B8F1D</t>
  </si>
  <si>
    <t>0.07</t>
  </si>
  <si>
    <t>'2B8F17</t>
  </si>
  <si>
    <t>4.51</t>
  </si>
  <si>
    <t>'2B8F11</t>
  </si>
  <si>
    <t>'2B8EF3</t>
  </si>
  <si>
    <t>OHT IV.07</t>
  </si>
  <si>
    <t>'2B8A16</t>
  </si>
  <si>
    <t>0.61</t>
  </si>
  <si>
    <t>'2B8A10</t>
  </si>
  <si>
    <t>'2B8A0A</t>
  </si>
  <si>
    <t>3.43</t>
  </si>
  <si>
    <t>'2B8A04</t>
  </si>
  <si>
    <t>'2B89FE</t>
  </si>
  <si>
    <t>2.90</t>
  </si>
  <si>
    <t>'2B89F8</t>
  </si>
  <si>
    <t>1.11</t>
  </si>
  <si>
    <t>'2B89F2</t>
  </si>
  <si>
    <t>'2B89EC</t>
  </si>
  <si>
    <t>1.51</t>
  </si>
  <si>
    <t>'2B89E6</t>
  </si>
  <si>
    <t>2.03</t>
  </si>
  <si>
    <t>'2B89E0</t>
  </si>
  <si>
    <t>'2B89DA</t>
  </si>
  <si>
    <t>3.00</t>
  </si>
  <si>
    <t>'2B89D4</t>
  </si>
  <si>
    <t>0.84</t>
  </si>
  <si>
    <t>'2B89CE</t>
  </si>
  <si>
    <t>1.15</t>
  </si>
  <si>
    <t>'2B89C8</t>
  </si>
  <si>
    <t>'2B89C2</t>
  </si>
  <si>
    <t>5.58</t>
  </si>
  <si>
    <t>OHT IV.18</t>
  </si>
  <si>
    <t>'2B89BC</t>
  </si>
  <si>
    <t>2.87</t>
  </si>
  <si>
    <t>OHT IV.17</t>
  </si>
  <si>
    <t>'2B89B6</t>
  </si>
  <si>
    <t>1.16</t>
  </si>
  <si>
    <t>OHT IV.16</t>
  </si>
  <si>
    <t>'2B89B0</t>
  </si>
  <si>
    <t>0.43</t>
  </si>
  <si>
    <t>OHT IV.13</t>
  </si>
  <si>
    <t>'2B89AA</t>
  </si>
  <si>
    <t>OHT IV.11</t>
  </si>
  <si>
    <t>'2B89A4</t>
  </si>
  <si>
    <t>3.46</t>
  </si>
  <si>
    <t>OHT IV.10</t>
  </si>
  <si>
    <t>'2B899E</t>
  </si>
  <si>
    <t>4.78</t>
  </si>
  <si>
    <t>OHT IV.15</t>
  </si>
  <si>
    <t>'2B8998</t>
  </si>
  <si>
    <t>1.22</t>
  </si>
  <si>
    <t>OHT IV.14</t>
  </si>
  <si>
    <t>'2B8992</t>
  </si>
  <si>
    <t>OHT IV.12</t>
  </si>
  <si>
    <t>'2B898C</t>
  </si>
  <si>
    <t>2.09</t>
  </si>
  <si>
    <t>OHT IV.08</t>
  </si>
  <si>
    <t>'2B8986</t>
  </si>
  <si>
    <t>3.38</t>
  </si>
  <si>
    <t>OHT IV.09</t>
  </si>
  <si>
    <t>'2B8980</t>
  </si>
  <si>
    <t>1.94</t>
  </si>
  <si>
    <t>OHT IV.06</t>
  </si>
  <si>
    <t>'2B897A</t>
  </si>
  <si>
    <t>OHT IV.05</t>
  </si>
  <si>
    <t>'2B8974</t>
  </si>
  <si>
    <t>0.24</t>
  </si>
  <si>
    <t>OHT IV.04</t>
  </si>
  <si>
    <t>'2B896E</t>
  </si>
  <si>
    <t>0.12</t>
  </si>
  <si>
    <t>OHT IV.03</t>
  </si>
  <si>
    <t>'286CA6</t>
  </si>
  <si>
    <t>0.08</t>
  </si>
  <si>
    <t>0.25</t>
  </si>
  <si>
    <t>0.56</t>
  </si>
  <si>
    <t>'2883B4</t>
  </si>
  <si>
    <t>0.60</t>
  </si>
  <si>
    <t>'251324</t>
  </si>
  <si>
    <t>'286C8B</t>
  </si>
  <si>
    <t>0.10</t>
  </si>
  <si>
    <t>'2883BA</t>
  </si>
  <si>
    <t>2.62</t>
  </si>
  <si>
    <t>'2883A8</t>
  </si>
  <si>
    <t>1.03</t>
  </si>
  <si>
    <t>'286C97</t>
  </si>
  <si>
    <t>0.06</t>
  </si>
  <si>
    <t>0.48</t>
  </si>
  <si>
    <t>'2871EE</t>
  </si>
  <si>
    <t>'2871E8</t>
  </si>
  <si>
    <t>0.03</t>
  </si>
  <si>
    <t>'2871E2</t>
  </si>
  <si>
    <t>'286CA0</t>
  </si>
  <si>
    <t>'286C91</t>
  </si>
  <si>
    <t>'286BE2</t>
  </si>
  <si>
    <t>'2529FB</t>
  </si>
  <si>
    <t>0.41</t>
  </si>
  <si>
    <t>'2526A1</t>
  </si>
  <si>
    <t>1.25</t>
  </si>
  <si>
    <t>'251335</t>
  </si>
  <si>
    <t>'25132B</t>
  </si>
  <si>
    <t>'250CDD</t>
  </si>
  <si>
    <t>'250735</t>
  </si>
  <si>
    <t>0.20</t>
  </si>
  <si>
    <t>'25044E</t>
  </si>
  <si>
    <t>'24FEB3</t>
  </si>
  <si>
    <t>'24FD04</t>
  </si>
  <si>
    <t>0.32</t>
  </si>
  <si>
    <t>'242D85</t>
  </si>
  <si>
    <t>'242423</t>
  </si>
  <si>
    <t>0.21</t>
  </si>
  <si>
    <t>0.36</t>
  </si>
  <si>
    <t>0.15</t>
  </si>
  <si>
    <t>'23B3C4</t>
  </si>
  <si>
    <t>0.69</t>
  </si>
  <si>
    <t>'23B3BE</t>
  </si>
  <si>
    <t>1.21</t>
  </si>
  <si>
    <t>'23B369</t>
  </si>
  <si>
    <t>'23B2C3</t>
  </si>
  <si>
    <t>0.28</t>
  </si>
  <si>
    <t>'238D87</t>
  </si>
  <si>
    <t>2.13</t>
  </si>
  <si>
    <t>'2389BE</t>
  </si>
  <si>
    <t>17.73</t>
  </si>
  <si>
    <t>'2389B5</t>
  </si>
  <si>
    <t>4.89</t>
  </si>
  <si>
    <t>'2379C4</t>
  </si>
  <si>
    <t>2.16</t>
  </si>
  <si>
    <t>3.30</t>
  </si>
  <si>
    <t>0.09</t>
  </si>
  <si>
    <t>8.13</t>
  </si>
  <si>
    <t>0.46</t>
  </si>
  <si>
    <t>0.81</t>
  </si>
  <si>
    <t>2.92</t>
  </si>
  <si>
    <t>7.86</t>
  </si>
  <si>
    <t>0.44</t>
  </si>
  <si>
    <t>2.14</t>
  </si>
  <si>
    <t>0.90</t>
  </si>
  <si>
    <t>0.35</t>
  </si>
  <si>
    <t>0.74</t>
  </si>
  <si>
    <t>0.54</t>
  </si>
  <si>
    <t>3.99</t>
  </si>
  <si>
    <t>3.76</t>
  </si>
  <si>
    <t>13.79</t>
  </si>
  <si>
    <t>3.19</t>
  </si>
  <si>
    <t>2.52</t>
  </si>
  <si>
    <t>3.05</t>
  </si>
  <si>
    <t>0.64</t>
  </si>
  <si>
    <t>3.15</t>
  </si>
  <si>
    <t>3.16</t>
  </si>
  <si>
    <t>2.31</t>
  </si>
  <si>
    <t>1.82</t>
  </si>
  <si>
    <t>2.63</t>
  </si>
  <si>
    <t>2.42</t>
  </si>
  <si>
    <t>0.58</t>
  </si>
  <si>
    <t>2.01</t>
  </si>
  <si>
    <t>1.04</t>
  </si>
  <si>
    <t>1.06</t>
  </si>
  <si>
    <t>1.31</t>
  </si>
  <si>
    <t>3.03</t>
  </si>
  <si>
    <t>1.74</t>
  </si>
  <si>
    <t>BDX II.01</t>
  </si>
  <si>
    <t>0.51</t>
  </si>
  <si>
    <t>0.94</t>
  </si>
  <si>
    <t>TIN</t>
  </si>
  <si>
    <t>1.28</t>
  </si>
  <si>
    <t>4.55</t>
  </si>
  <si>
    <t>0.33</t>
  </si>
  <si>
    <t>0.27</t>
  </si>
  <si>
    <t>0.67</t>
  </si>
  <si>
    <t>1.49</t>
  </si>
  <si>
    <t>0.77</t>
  </si>
  <si>
    <t>3.45</t>
  </si>
  <si>
    <t>1.55</t>
  </si>
  <si>
    <t>1.19</t>
  </si>
  <si>
    <t>3.33</t>
  </si>
  <si>
    <t>1.05</t>
  </si>
  <si>
    <t>1.18</t>
  </si>
  <si>
    <t>3.44</t>
  </si>
  <si>
    <t>2.29</t>
  </si>
  <si>
    <t>1.90</t>
  </si>
  <si>
    <t>0.29</t>
  </si>
  <si>
    <t>1.54</t>
  </si>
  <si>
    <t>4.38</t>
  </si>
  <si>
    <t>1.38</t>
  </si>
  <si>
    <t>1.75</t>
  </si>
  <si>
    <t>0.89</t>
  </si>
  <si>
    <t>2.85</t>
  </si>
  <si>
    <t>3.73</t>
  </si>
  <si>
    <t>7.37</t>
  </si>
  <si>
    <t>6.12</t>
  </si>
  <si>
    <t>4.92</t>
  </si>
  <si>
    <t>6.02</t>
  </si>
  <si>
    <t>2.59</t>
  </si>
  <si>
    <t>4.68</t>
  </si>
  <si>
    <t>4.37</t>
  </si>
  <si>
    <t>3.65</t>
  </si>
  <si>
    <t>1.02</t>
  </si>
  <si>
    <t>0.39</t>
  </si>
  <si>
    <t>0.57</t>
  </si>
  <si>
    <t>19.44</t>
  </si>
  <si>
    <t>0.68</t>
  </si>
  <si>
    <t>2.26</t>
  </si>
  <si>
    <t>34.02</t>
  </si>
  <si>
    <t>0.66</t>
  </si>
  <si>
    <t>1.20</t>
  </si>
  <si>
    <t>0.45</t>
  </si>
  <si>
    <t>0.70</t>
  </si>
  <si>
    <t>0.42</t>
  </si>
  <si>
    <t>1.33</t>
  </si>
  <si>
    <t>1.50</t>
  </si>
  <si>
    <t>1.00</t>
  </si>
  <si>
    <t>3.79</t>
  </si>
  <si>
    <t>7.56</t>
  </si>
  <si>
    <t>3.52</t>
  </si>
  <si>
    <t>1.67</t>
  </si>
  <si>
    <t>2.30</t>
  </si>
  <si>
    <t>1.80</t>
  </si>
  <si>
    <t>5.91</t>
  </si>
  <si>
    <t>3.23</t>
  </si>
  <si>
    <t>3.85</t>
  </si>
  <si>
    <t>1.42</t>
  </si>
  <si>
    <t>3.10</t>
  </si>
  <si>
    <t>4.39</t>
  </si>
  <si>
    <t>5.33</t>
  </si>
  <si>
    <t>3.61</t>
  </si>
  <si>
    <t>1.40</t>
  </si>
  <si>
    <t>1.53</t>
  </si>
  <si>
    <t>0.86</t>
  </si>
  <si>
    <t>1.93</t>
  </si>
  <si>
    <t>0.18</t>
  </si>
  <si>
    <t>1.64</t>
  </si>
  <si>
    <t>1.81</t>
  </si>
  <si>
    <t>7.94</t>
  </si>
  <si>
    <t>8.17</t>
  </si>
  <si>
    <t>2.39</t>
  </si>
  <si>
    <t>11.87</t>
  </si>
  <si>
    <t>1.27</t>
  </si>
  <si>
    <t>1.12</t>
  </si>
  <si>
    <t>2.56</t>
  </si>
  <si>
    <t>4.53</t>
  </si>
  <si>
    <t>2.06</t>
  </si>
  <si>
    <t>1.35</t>
  </si>
  <si>
    <t>1.46</t>
  </si>
  <si>
    <t>1.44</t>
  </si>
  <si>
    <t>0.97</t>
  </si>
  <si>
    <t>7.81</t>
  </si>
  <si>
    <t>11.11</t>
  </si>
  <si>
    <t>2.07</t>
  </si>
  <si>
    <t>5.73</t>
  </si>
  <si>
    <t>4.98</t>
  </si>
  <si>
    <t>0.52</t>
  </si>
  <si>
    <t>0.93</t>
  </si>
  <si>
    <t>5.71</t>
  </si>
  <si>
    <t>0.85</t>
  </si>
  <si>
    <t>1.52</t>
  </si>
  <si>
    <t>1.61</t>
  </si>
  <si>
    <t>2.89</t>
  </si>
  <si>
    <t>TDTT IV.02</t>
  </si>
  <si>
    <t>BX IV.01</t>
  </si>
  <si>
    <t>Tỷ lệ đất giao thông đô thị/đất xây dựng đô thị</t>
  </si>
  <si>
    <t>(Tỷ lệ đất giao thông đô thị/tổng diện tích đất lập quy hoạch)</t>
  </si>
  <si>
    <r>
      <rPr>
        <sz val="11"/>
        <color rgb="FF0000FF"/>
        <rFont val="Calibri"/>
        <family val="2"/>
      </rPr>
      <t>≥</t>
    </r>
    <r>
      <rPr>
        <sz val="11"/>
        <color rgb="FF0000FF"/>
        <rFont val="Times New Roman"/>
        <family val="1"/>
      </rPr>
      <t xml:space="preserve"> 0,6 </t>
    </r>
  </si>
  <si>
    <t>DIỆN TÍCH LÔ ĐẤT (HA)</t>
  </si>
  <si>
    <t>CXDT I.06</t>
  </si>
  <si>
    <t>YT I.03</t>
  </si>
  <si>
    <t>DV I.02</t>
  </si>
  <si>
    <t>DV I.03</t>
  </si>
  <si>
    <t>OM 1</t>
  </si>
  <si>
    <t>Quy hoạch phân khu
Phê duyệt</t>
  </si>
  <si>
    <t>Quy hoạch Phân khu
ĐCCB</t>
  </si>
  <si>
    <t xml:space="preserve">Tăng (+)/ giảm (-) so với Quy hoạch đã phê duyệt </t>
  </si>
  <si>
    <t xml:space="preserve">CXCC </t>
  </si>
  <si>
    <t xml:space="preserve">OM </t>
  </si>
  <si>
    <t xml:space="preserve">GD </t>
  </si>
  <si>
    <t>TỔNG DIỆN TÍCH</t>
  </si>
  <si>
    <t>Diện tích (ha)</t>
  </si>
  <si>
    <t>BẢNG SO SÁNH CHỈ TIÊU KINH TẾ-KỸ THUẬT ĐÃ ĐƯỢC PHÊ DUYỆT TRƯỚC KHI ĐIỀU CHỈNH CỤC BỘ
(KHU VỰC TIỂU KHU 1)</t>
  </si>
  <si>
    <t>BẢNG SO SÁNH CHỈ TIÊU KINH TẾ-KỸ THUẬT ĐÃ ĐƯỢC PHÊ DUYỆT TRƯỚC KHI ĐIỀU CHỈNH CỤC BỘ 
TOÀN BỘ PHÂN KHU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</si>
</sst>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#,##0.0"/>
    <numFmt numFmtId="166" formatCode="0.0"/>
  </numFmts>
  <fonts count="4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i/>
      <sz val="12"/>
      <color theme="1"/>
      <name val="Calibri"/>
      <family val="2"/>
      <scheme val="minor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i/>
      <sz val="11"/>
      <color theme="1"/>
      <name val="Times New Roman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FF"/>
      <name val="Times New Roman"/>
      <family val="1"/>
    </font>
    <font>
      <i/>
      <sz val="12"/>
      <color rgb="FF0000FF"/>
      <name val="Times New Roman"/>
      <family val="1"/>
    </font>
    <font>
      <sz val="11"/>
      <color rgb="FF0000FF"/>
      <name val="Times New Roman"/>
      <family val="1"/>
    </font>
    <font>
      <sz val="11"/>
      <color rgb="FF0000FF"/>
      <name val="Times New Roman"/>
      <family val="2"/>
    </font>
    <font>
      <sz val="11"/>
      <color rgb="FF0000FF"/>
      <name val="Calibri"/>
      <family val="2"/>
    </font>
    <font>
      <sz val="11"/>
      <color rgb="FFFF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</font>
    <font>
      <i/>
      <sz val="12"/>
      <color rgb="FF000000"/>
      <name val="Times New Roman"/>
      <family val="1"/>
    </font>
    <font>
      <i/>
      <sz val="12"/>
      <color rgb="FF000000"/>
      <name val="Calibri"/>
      <family val="2"/>
    </font>
    <font>
      <sz val="11"/>
      <color rgb="FF000000"/>
      <name val="Times New Roman"/>
      <family val="1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7">
    <xf numFmtId="0" fontId="0" fillId="0" borderId="0" xfId="0"/>
    <xf numFmtId="0" fontId="6" fillId="0" borderId="0" xfId="0" applyFont="1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/>
    <xf numFmtId="2" fontId="5" fillId="0" borderId="0" xfId="0" applyNumberFormat="1" applyFont="1"/>
    <xf numFmtId="2" fontId="1" fillId="0" borderId="0" xfId="0" applyNumberFormat="1" applyFont="1"/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2" fontId="11" fillId="2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/>
    <xf numFmtId="0" fontId="10" fillId="3" borderId="1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2" fontId="10" fillId="4" borderId="1" xfId="0" applyNumberFormat="1" applyFont="1" applyFill="1" applyBorder="1"/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7" fillId="0" borderId="1" xfId="0" applyFont="1" applyBorder="1"/>
    <xf numFmtId="4" fontId="6" fillId="0" borderId="0" xfId="0" applyNumberFormat="1" applyFont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horizontal="right" vertical="center"/>
    </xf>
    <xf numFmtId="2" fontId="10" fillId="3" borderId="1" xfId="0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right" vertical="center"/>
    </xf>
    <xf numFmtId="2" fontId="11" fillId="2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right" vertical="center"/>
    </xf>
    <xf numFmtId="2" fontId="10" fillId="4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4" fontId="13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4" fontId="13" fillId="0" borderId="0" xfId="0" applyNumberFormat="1" applyFont="1"/>
    <xf numFmtId="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0" fontId="19" fillId="0" borderId="0" xfId="0" applyFont="1"/>
    <xf numFmtId="0" fontId="17" fillId="0" borderId="1" xfId="0" applyFont="1" applyBorder="1" applyAlignment="1">
      <alignment horizontal="left" vertical="center"/>
    </xf>
    <xf numFmtId="0" fontId="21" fillId="7" borderId="0" xfId="0" applyFont="1" applyFill="1"/>
    <xf numFmtId="0" fontId="15" fillId="0" borderId="1" xfId="0" applyFont="1" applyBorder="1" applyAlignment="1">
      <alignment horizontal="center" vertical="center"/>
    </xf>
    <xf numFmtId="165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0" fontId="16" fillId="5" borderId="0" xfId="0" applyFont="1" applyFill="1"/>
    <xf numFmtId="0" fontId="14" fillId="6" borderId="0" xfId="0" applyFont="1" applyFill="1"/>
    <xf numFmtId="0" fontId="16" fillId="6" borderId="0" xfId="0" applyFont="1" applyFill="1"/>
    <xf numFmtId="4" fontId="14" fillId="5" borderId="0" xfId="0" applyNumberFormat="1" applyFont="1" applyFill="1"/>
    <xf numFmtId="3" fontId="18" fillId="0" borderId="1" xfId="0" applyNumberFormat="1" applyFont="1" applyBorder="1" applyAlignment="1">
      <alignment horizontal="center" vertical="center"/>
    </xf>
    <xf numFmtId="4" fontId="14" fillId="0" borderId="0" xfId="0" applyNumberFormat="1" applyFont="1"/>
    <xf numFmtId="4" fontId="14" fillId="6" borderId="0" xfId="0" applyNumberFormat="1" applyFont="1" applyFill="1"/>
    <xf numFmtId="4" fontId="0" fillId="0" borderId="0" xfId="0" applyNumberFormat="1"/>
    <xf numFmtId="3" fontId="14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0" xfId="0" applyFont="1"/>
    <xf numFmtId="3" fontId="13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14" fillId="6" borderId="0" xfId="0" applyNumberFormat="1" applyFont="1" applyFill="1"/>
    <xf numFmtId="3" fontId="14" fillId="5" borderId="0" xfId="0" applyNumberFormat="1" applyFont="1" applyFill="1"/>
    <xf numFmtId="3" fontId="13" fillId="0" borderId="0" xfId="0" applyNumberFormat="1" applyFont="1"/>
    <xf numFmtId="4" fontId="24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" fontId="14" fillId="0" borderId="0" xfId="0" applyNumberFormat="1" applyFont="1"/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6" fillId="0" borderId="0" xfId="0" applyNumberFormat="1" applyFont="1"/>
    <xf numFmtId="0" fontId="24" fillId="0" borderId="0" xfId="0" applyFont="1"/>
    <xf numFmtId="0" fontId="21" fillId="6" borderId="1" xfId="0" applyFont="1" applyFill="1" applyBorder="1" applyAlignment="1">
      <alignment horizontal="center"/>
    </xf>
    <xf numFmtId="0" fontId="21" fillId="6" borderId="0" xfId="0" applyFont="1" applyFill="1"/>
    <xf numFmtId="0" fontId="21" fillId="5" borderId="0" xfId="0" applyFont="1" applyFill="1"/>
    <xf numFmtId="0" fontId="17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3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" fontId="31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/>
    <xf numFmtId="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quotePrefix="1" applyFont="1" applyBorder="1" applyAlignment="1">
      <alignment horizontal="left" vertical="center"/>
    </xf>
    <xf numFmtId="0" fontId="28" fillId="0" borderId="0" xfId="0" applyFont="1"/>
    <xf numFmtId="0" fontId="34" fillId="0" borderId="0" xfId="0" applyFont="1"/>
    <xf numFmtId="0" fontId="28" fillId="0" borderId="1" xfId="0" quotePrefix="1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left" vertical="center"/>
    </xf>
    <xf numFmtId="4" fontId="31" fillId="5" borderId="1" xfId="0" applyNumberFormat="1" applyFont="1" applyFill="1" applyBorder="1"/>
    <xf numFmtId="0" fontId="31" fillId="5" borderId="1" xfId="0" applyFont="1" applyFill="1" applyBorder="1" applyAlignment="1">
      <alignment horizontal="right" vertical="center"/>
    </xf>
    <xf numFmtId="0" fontId="31" fillId="5" borderId="1" xfId="0" applyFont="1" applyFill="1" applyBorder="1"/>
    <xf numFmtId="0" fontId="31" fillId="5" borderId="0" xfId="0" applyFont="1" applyFill="1"/>
    <xf numFmtId="0" fontId="27" fillId="5" borderId="0" xfId="0" applyFont="1" applyFill="1"/>
    <xf numFmtId="0" fontId="31" fillId="0" borderId="0" xfId="0" applyFont="1"/>
    <xf numFmtId="4" fontId="14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24" fillId="0" borderId="1" xfId="0" applyFont="1" applyBorder="1"/>
    <xf numFmtId="4" fontId="18" fillId="0" borderId="1" xfId="0" quotePrefix="1" applyNumberFormat="1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/>
    </xf>
    <xf numFmtId="165" fontId="14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9" fontId="2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65" fontId="13" fillId="0" borderId="1" xfId="0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9" fontId="13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7" fillId="0" borderId="1" xfId="0" applyFont="1" applyBorder="1"/>
    <xf numFmtId="0" fontId="28" fillId="0" borderId="1" xfId="0" applyFont="1" applyBorder="1"/>
    <xf numFmtId="0" fontId="20" fillId="0" borderId="0" xfId="0" applyFont="1"/>
    <xf numFmtId="0" fontId="17" fillId="0" borderId="0" xfId="0" applyFont="1"/>
    <xf numFmtId="0" fontId="20" fillId="7" borderId="0" xfId="0" applyFont="1" applyFill="1"/>
    <xf numFmtId="0" fontId="18" fillId="0" borderId="0" xfId="0" applyFont="1"/>
    <xf numFmtId="4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4" fontId="24" fillId="0" borderId="0" xfId="0" applyNumberFormat="1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4" fontId="20" fillId="6" borderId="0" xfId="0" applyNumberFormat="1" applyFont="1" applyFill="1" applyAlignment="1">
      <alignment horizontal="center" vertical="center" wrapText="1"/>
    </xf>
    <xf numFmtId="3" fontId="20" fillId="6" borderId="0" xfId="0" applyNumberFormat="1" applyFont="1" applyFill="1" applyAlignment="1">
      <alignment horizontal="center" vertical="center" wrapText="1"/>
    </xf>
    <xf numFmtId="0" fontId="21" fillId="6" borderId="0" xfId="0" applyFont="1" applyFill="1" applyAlignment="1">
      <alignment horizontal="center"/>
    </xf>
    <xf numFmtId="4" fontId="21" fillId="6" borderId="0" xfId="0" applyNumberFormat="1" applyFont="1" applyFill="1" applyAlignment="1">
      <alignment horizontal="center" vertical="center"/>
    </xf>
    <xf numFmtId="4" fontId="21" fillId="6" borderId="0" xfId="0" applyNumberFormat="1" applyFont="1" applyFill="1" applyAlignment="1">
      <alignment horizontal="center"/>
    </xf>
    <xf numFmtId="4" fontId="20" fillId="5" borderId="0" xfId="0" applyNumberFormat="1" applyFont="1" applyFill="1" applyAlignment="1">
      <alignment horizontal="center" vertical="center" wrapText="1"/>
    </xf>
    <xf numFmtId="3" fontId="20" fillId="5" borderId="0" xfId="0" applyNumberFormat="1" applyFont="1" applyFill="1" applyAlignment="1">
      <alignment horizontal="center" vertical="center" wrapText="1"/>
    </xf>
    <xf numFmtId="4" fontId="21" fillId="5" borderId="0" xfId="0" applyNumberFormat="1" applyFont="1" applyFill="1" applyAlignment="1">
      <alignment horizontal="center" vertical="center"/>
    </xf>
    <xf numFmtId="4" fontId="21" fillId="5" borderId="0" xfId="0" applyNumberFormat="1" applyFont="1" applyFill="1" applyAlignment="1">
      <alignment horizontal="center"/>
    </xf>
    <xf numFmtId="3" fontId="20" fillId="7" borderId="0" xfId="0" applyNumberFormat="1" applyFont="1" applyFill="1" applyAlignment="1">
      <alignment horizontal="center" vertical="center"/>
    </xf>
    <xf numFmtId="4" fontId="21" fillId="7" borderId="0" xfId="0" applyNumberFormat="1" applyFont="1" applyFill="1" applyAlignment="1">
      <alignment horizontal="center" vertical="center"/>
    </xf>
    <xf numFmtId="4" fontId="20" fillId="7" borderId="0" xfId="0" applyNumberFormat="1" applyFont="1" applyFill="1" applyAlignment="1">
      <alignment horizontal="center" vertical="center"/>
    </xf>
    <xf numFmtId="4" fontId="21" fillId="7" borderId="0" xfId="0" applyNumberFormat="1" applyFont="1" applyFill="1" applyAlignment="1">
      <alignment horizontal="center"/>
    </xf>
    <xf numFmtId="3" fontId="18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left" vertical="center"/>
    </xf>
    <xf numFmtId="4" fontId="20" fillId="6" borderId="0" xfId="0" applyNumberFormat="1" applyFont="1" applyFill="1" applyAlignment="1">
      <alignment horizontal="center" vertical="center"/>
    </xf>
    <xf numFmtId="3" fontId="20" fillId="6" borderId="0" xfId="0" applyNumberFormat="1" applyFont="1" applyFill="1" applyAlignment="1">
      <alignment horizontal="center" vertical="center"/>
    </xf>
    <xf numFmtId="4" fontId="21" fillId="6" borderId="0" xfId="0" applyNumberFormat="1" applyFont="1" applyFill="1"/>
    <xf numFmtId="4" fontId="20" fillId="5" borderId="0" xfId="0" applyNumberFormat="1" applyFont="1" applyFill="1" applyAlignment="1">
      <alignment horizontal="center" vertical="center"/>
    </xf>
    <xf numFmtId="3" fontId="20" fillId="5" borderId="0" xfId="0" applyNumberFormat="1" applyFont="1" applyFill="1" applyAlignment="1">
      <alignment horizontal="center" vertical="center"/>
    </xf>
    <xf numFmtId="4" fontId="21" fillId="5" borderId="0" xfId="0" applyNumberFormat="1" applyFont="1" applyFill="1"/>
    <xf numFmtId="4" fontId="21" fillId="7" borderId="0" xfId="0" applyNumberFormat="1" applyFont="1" applyFill="1"/>
    <xf numFmtId="4" fontId="19" fillId="0" borderId="0" xfId="0" applyNumberFormat="1" applyFont="1"/>
    <xf numFmtId="4" fontId="20" fillId="0" borderId="0" xfId="0" applyNumberFormat="1" applyFont="1" applyAlignment="1">
      <alignment horizontal="center" vertical="center"/>
    </xf>
    <xf numFmtId="4" fontId="20" fillId="0" borderId="0" xfId="0" applyNumberFormat="1" applyFont="1"/>
    <xf numFmtId="4" fontId="20" fillId="7" borderId="0" xfId="0" applyNumberFormat="1" applyFont="1" applyFill="1"/>
    <xf numFmtId="4" fontId="18" fillId="0" borderId="0" xfId="0" applyNumberFormat="1" applyFont="1"/>
    <xf numFmtId="4" fontId="17" fillId="0" borderId="0" xfId="0" applyNumberFormat="1" applyFont="1"/>
    <xf numFmtId="0" fontId="18" fillId="0" borderId="0" xfId="0" applyFont="1" applyAlignment="1">
      <alignment vertical="center"/>
    </xf>
    <xf numFmtId="3" fontId="17" fillId="0" borderId="0" xfId="0" applyNumberFormat="1" applyFont="1" applyAlignment="1">
      <alignment horizontal="center"/>
    </xf>
    <xf numFmtId="0" fontId="17" fillId="0" borderId="7" xfId="0" applyFont="1" applyBorder="1" applyAlignment="1">
      <alignment horizontal="center" vertical="center"/>
    </xf>
    <xf numFmtId="4" fontId="17" fillId="0" borderId="7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0" fontId="35" fillId="0" borderId="1" xfId="0" applyFont="1" applyBorder="1"/>
    <xf numFmtId="0" fontId="35" fillId="0" borderId="1" xfId="0" applyFont="1" applyBorder="1" applyAlignment="1">
      <alignment horizontal="center" vertical="center"/>
    </xf>
    <xf numFmtId="0" fontId="14" fillId="0" borderId="1" xfId="0" applyFont="1" applyBorder="1"/>
    <xf numFmtId="14" fontId="14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/>
    <xf numFmtId="0" fontId="14" fillId="0" borderId="1" xfId="0" applyFont="1" applyBorder="1" applyAlignment="1">
      <alignment vertical="center"/>
    </xf>
    <xf numFmtId="3" fontId="17" fillId="0" borderId="0" xfId="0" applyNumberFormat="1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4" fontId="22" fillId="0" borderId="3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/>
    <xf numFmtId="0" fontId="24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4" fontId="21" fillId="0" borderId="0" xfId="0" applyNumberFormat="1" applyFont="1"/>
    <xf numFmtId="0" fontId="21" fillId="0" borderId="0" xfId="0" applyFont="1"/>
    <xf numFmtId="3" fontId="20" fillId="0" borderId="1" xfId="0" applyNumberFormat="1" applyFont="1" applyBorder="1" applyAlignment="1">
      <alignment horizontal="center" vertical="center"/>
    </xf>
    <xf numFmtId="4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4" fontId="41" fillId="0" borderId="1" xfId="0" applyNumberFormat="1" applyFont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4" fontId="20" fillId="8" borderId="1" xfId="0" applyNumberFormat="1" applyFont="1" applyFill="1" applyBorder="1" applyAlignment="1">
      <alignment horizontal="center" vertical="center" wrapText="1"/>
    </xf>
    <xf numFmtId="3" fontId="20" fillId="8" borderId="1" xfId="0" applyNumberFormat="1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left" vertical="center"/>
    </xf>
    <xf numFmtId="4" fontId="20" fillId="8" borderId="3" xfId="0" applyNumberFormat="1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left" vertical="center"/>
    </xf>
    <xf numFmtId="4" fontId="20" fillId="9" borderId="3" xfId="0" applyNumberFormat="1" applyFont="1" applyFill="1" applyBorder="1" applyAlignment="1">
      <alignment horizontal="center" vertical="center" wrapText="1"/>
    </xf>
    <xf numFmtId="3" fontId="20" fillId="9" borderId="1" xfId="0" applyNumberFormat="1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left" vertical="center"/>
    </xf>
    <xf numFmtId="4" fontId="20" fillId="10" borderId="1" xfId="0" applyNumberFormat="1" applyFont="1" applyFill="1" applyBorder="1" applyAlignment="1">
      <alignment horizontal="center" vertical="center"/>
    </xf>
    <xf numFmtId="4" fontId="20" fillId="10" borderId="3" xfId="0" applyNumberFormat="1" applyFont="1" applyFill="1" applyBorder="1" applyAlignment="1">
      <alignment horizontal="center" vertical="center" wrapText="1"/>
    </xf>
    <xf numFmtId="3" fontId="20" fillId="10" borderId="1" xfId="0" applyNumberFormat="1" applyFont="1" applyFill="1" applyBorder="1" applyAlignment="1">
      <alignment horizontal="center" vertical="center"/>
    </xf>
    <xf numFmtId="4" fontId="20" fillId="9" borderId="1" xfId="0" applyNumberFormat="1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center"/>
    </xf>
    <xf numFmtId="4" fontId="20" fillId="8" borderId="1" xfId="0" applyNumberFormat="1" applyFont="1" applyFill="1" applyBorder="1" applyAlignment="1">
      <alignment horizontal="center" vertical="center"/>
    </xf>
    <xf numFmtId="3" fontId="20" fillId="8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3" fontId="20" fillId="9" borderId="1" xfId="0" applyNumberFormat="1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left" vertical="center"/>
    </xf>
    <xf numFmtId="4" fontId="20" fillId="9" borderId="1" xfId="0" applyNumberFormat="1" applyFont="1" applyFill="1" applyBorder="1" applyAlignment="1">
      <alignment horizontal="center" vertical="center" wrapText="1"/>
    </xf>
    <xf numFmtId="0" fontId="21" fillId="10" borderId="1" xfId="0" applyFont="1" applyFill="1" applyBorder="1"/>
    <xf numFmtId="4" fontId="21" fillId="10" borderId="1" xfId="0" applyNumberFormat="1" applyFont="1" applyFill="1" applyBorder="1" applyAlignment="1">
      <alignment horizontal="center" vertical="center"/>
    </xf>
    <xf numFmtId="4" fontId="20" fillId="10" borderId="7" xfId="0" applyNumberFormat="1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center" vertical="center"/>
    </xf>
    <xf numFmtId="4" fontId="17" fillId="9" borderId="1" xfId="0" applyNumberFormat="1" applyFont="1" applyFill="1" applyBorder="1" applyAlignment="1">
      <alignment horizontal="center" vertical="center"/>
    </xf>
    <xf numFmtId="3" fontId="17" fillId="9" borderId="1" xfId="0" applyNumberFormat="1" applyFont="1" applyFill="1" applyBorder="1" applyAlignment="1">
      <alignment horizontal="center" vertical="center"/>
    </xf>
    <xf numFmtId="3" fontId="17" fillId="10" borderId="1" xfId="0" applyNumberFormat="1" applyFont="1" applyFill="1" applyBorder="1" applyAlignment="1">
      <alignment horizontal="center" vertical="center"/>
    </xf>
    <xf numFmtId="4" fontId="20" fillId="9" borderId="7" xfId="0" applyNumberFormat="1" applyFont="1" applyFill="1" applyBorder="1" applyAlignment="1">
      <alignment horizontal="center" vertical="center"/>
    </xf>
    <xf numFmtId="0" fontId="0" fillId="2" borderId="0" xfId="0" applyFill="1"/>
    <xf numFmtId="0" fontId="20" fillId="2" borderId="1" xfId="0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/>
    </xf>
    <xf numFmtId="4" fontId="20" fillId="2" borderId="1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4" fontId="17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/>
    </xf>
    <xf numFmtId="4" fontId="20" fillId="2" borderId="1" xfId="0" applyNumberFormat="1" applyFont="1" applyFill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20" fillId="2" borderId="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4" fontId="17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/>
    </xf>
    <xf numFmtId="4" fontId="22" fillId="2" borderId="3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/>
    <xf numFmtId="3" fontId="17" fillId="2" borderId="1" xfId="0" applyNumberFormat="1" applyFont="1" applyFill="1" applyBorder="1" applyAlignment="1">
      <alignment horizontal="center" vertical="center"/>
    </xf>
    <xf numFmtId="4" fontId="18" fillId="2" borderId="1" xfId="0" quotePrefix="1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/>
    <xf numFmtId="0" fontId="17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/>
    </xf>
    <xf numFmtId="0" fontId="21" fillId="2" borderId="1" xfId="0" applyFont="1" applyFill="1" applyBorder="1"/>
    <xf numFmtId="4" fontId="21" fillId="2" borderId="1" xfId="0" applyNumberFormat="1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4" fontId="17" fillId="2" borderId="7" xfId="0" applyNumberFormat="1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25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right" vertical="center" wrapText="1"/>
    </xf>
    <xf numFmtId="3" fontId="17" fillId="2" borderId="1" xfId="0" applyNumberFormat="1" applyFont="1" applyFill="1" applyBorder="1" applyAlignment="1">
      <alignment horizontal="right" vertical="center" wrapText="1"/>
    </xf>
    <xf numFmtId="4" fontId="17" fillId="2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horizontal="right" vertical="center" wrapText="1"/>
    </xf>
    <xf numFmtId="4" fontId="22" fillId="2" borderId="1" xfId="0" applyNumberFormat="1" applyFont="1" applyFill="1" applyBorder="1" applyAlignment="1">
      <alignment horizontal="right" vertical="center" wrapText="1"/>
    </xf>
    <xf numFmtId="4" fontId="37" fillId="2" borderId="1" xfId="0" applyNumberFormat="1" applyFont="1" applyFill="1" applyBorder="1" applyAlignment="1">
      <alignment horizontal="right" vertical="center" wrapText="1"/>
    </xf>
    <xf numFmtId="165" fontId="22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4" fontId="36" fillId="2" borderId="1" xfId="0" applyNumberFormat="1" applyFont="1" applyFill="1" applyBorder="1" applyAlignment="1">
      <alignment horizontal="right" vertical="center" wrapText="1"/>
    </xf>
    <xf numFmtId="165" fontId="22" fillId="2" borderId="1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/>
    <xf numFmtId="3" fontId="42" fillId="0" borderId="0" xfId="0" applyNumberFormat="1" applyFont="1" applyFill="1" applyBorder="1"/>
    <xf numFmtId="4" fontId="42" fillId="0" borderId="0" xfId="0" applyNumberFormat="1" applyFont="1" applyFill="1" applyBorder="1"/>
    <xf numFmtId="0" fontId="43" fillId="0" borderId="0" xfId="0" applyFont="1" applyFill="1" applyBorder="1"/>
    <xf numFmtId="0" fontId="20" fillId="8" borderId="1" xfId="0" applyFont="1" applyFill="1" applyBorder="1" applyAlignment="1">
      <alignment vertical="center"/>
    </xf>
    <xf numFmtId="4" fontId="20" fillId="8" borderId="1" xfId="0" applyNumberFormat="1" applyFont="1" applyFill="1" applyBorder="1" applyAlignment="1">
      <alignment horizontal="right" vertical="center" wrapText="1"/>
    </xf>
    <xf numFmtId="3" fontId="20" fillId="8" borderId="1" xfId="0" applyNumberFormat="1" applyFont="1" applyFill="1" applyBorder="1" applyAlignment="1">
      <alignment horizontal="right" vertical="center" wrapText="1"/>
    </xf>
    <xf numFmtId="165" fontId="17" fillId="8" borderId="1" xfId="0" applyNumberFormat="1" applyFont="1" applyFill="1" applyBorder="1" applyAlignment="1">
      <alignment horizontal="center" vertical="center"/>
    </xf>
    <xf numFmtId="0" fontId="42" fillId="8" borderId="0" xfId="0" applyFont="1" applyFill="1" applyBorder="1"/>
    <xf numFmtId="3" fontId="42" fillId="8" borderId="0" xfId="0" applyNumberFormat="1" applyFont="1" applyFill="1" applyBorder="1"/>
    <xf numFmtId="4" fontId="42" fillId="8" borderId="0" xfId="0" applyNumberFormat="1" applyFont="1" applyFill="1" applyBorder="1"/>
    <xf numFmtId="0" fontId="43" fillId="8" borderId="0" xfId="0" applyFont="1" applyFill="1" applyBorder="1"/>
    <xf numFmtId="0" fontId="20" fillId="9" borderId="1" xfId="0" applyFont="1" applyFill="1" applyBorder="1" applyAlignment="1">
      <alignment vertical="center"/>
    </xf>
    <xf numFmtId="4" fontId="20" fillId="9" borderId="1" xfId="0" applyNumberFormat="1" applyFont="1" applyFill="1" applyBorder="1" applyAlignment="1">
      <alignment horizontal="right" vertical="center" wrapText="1"/>
    </xf>
    <xf numFmtId="3" fontId="20" fillId="9" borderId="1" xfId="0" applyNumberFormat="1" applyFont="1" applyFill="1" applyBorder="1" applyAlignment="1">
      <alignment horizontal="right" vertical="center" wrapText="1"/>
    </xf>
    <xf numFmtId="165" fontId="17" fillId="9" borderId="1" xfId="0" applyNumberFormat="1" applyFont="1" applyFill="1" applyBorder="1" applyAlignment="1">
      <alignment horizontal="center" vertical="center"/>
    </xf>
    <xf numFmtId="0" fontId="42" fillId="9" borderId="0" xfId="0" applyFont="1" applyFill="1" applyBorder="1"/>
    <xf numFmtId="3" fontId="42" fillId="9" borderId="0" xfId="0" applyNumberFormat="1" applyFont="1" applyFill="1" applyBorder="1"/>
    <xf numFmtId="4" fontId="42" fillId="9" borderId="0" xfId="0" applyNumberFormat="1" applyFont="1" applyFill="1" applyBorder="1"/>
    <xf numFmtId="0" fontId="43" fillId="9" borderId="0" xfId="0" applyFont="1" applyFill="1" applyBorder="1"/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3" fontId="43" fillId="0" borderId="0" xfId="0" applyNumberFormat="1" applyFont="1" applyFill="1" applyBorder="1"/>
    <xf numFmtId="165" fontId="42" fillId="0" borderId="0" xfId="0" applyNumberFormat="1" applyFont="1" applyFill="1" applyBorder="1"/>
    <xf numFmtId="3" fontId="42" fillId="0" borderId="1" xfId="0" applyNumberFormat="1" applyFont="1" applyFill="1" applyBorder="1" applyAlignment="1">
      <alignment horizontal="center" vertical="center"/>
    </xf>
    <xf numFmtId="165" fontId="42" fillId="0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horizontal="right" vertical="center" wrapText="1"/>
    </xf>
    <xf numFmtId="2" fontId="42" fillId="0" borderId="0" xfId="0" applyNumberFormat="1" applyFont="1" applyFill="1" applyBorder="1"/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37" fillId="0" borderId="1" xfId="0" applyNumberFormat="1" applyFont="1" applyFill="1" applyBorder="1" applyAlignment="1">
      <alignment horizontal="right" vertical="center" wrapText="1"/>
    </xf>
    <xf numFmtId="0" fontId="17" fillId="0" borderId="1" xfId="0" applyFont="1" applyFill="1" applyBorder="1"/>
    <xf numFmtId="0" fontId="42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165" fontId="22" fillId="0" borderId="1" xfId="0" applyNumberFormat="1" applyFont="1" applyFill="1" applyBorder="1" applyAlignment="1">
      <alignment horizontal="center" vertical="center"/>
    </xf>
    <xf numFmtId="0" fontId="44" fillId="0" borderId="0" xfId="0" applyFont="1" applyFill="1" applyBorder="1"/>
    <xf numFmtId="3" fontId="44" fillId="0" borderId="0" xfId="0" applyNumberFormat="1" applyFont="1" applyFill="1" applyBorder="1"/>
    <xf numFmtId="3" fontId="42" fillId="0" borderId="1" xfId="0" applyNumberFormat="1" applyFont="1" applyFill="1" applyBorder="1" applyAlignment="1">
      <alignment vertical="center"/>
    </xf>
    <xf numFmtId="165" fontId="42" fillId="0" borderId="1" xfId="0" applyNumberFormat="1" applyFont="1" applyFill="1" applyBorder="1" applyAlignment="1">
      <alignment vertical="center"/>
    </xf>
    <xf numFmtId="0" fontId="45" fillId="0" borderId="0" xfId="0" applyFont="1" applyFill="1" applyBorder="1"/>
    <xf numFmtId="4" fontId="42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1" fontId="42" fillId="0" borderId="0" xfId="0" applyNumberFormat="1" applyFont="1" applyFill="1" applyBorder="1"/>
    <xf numFmtId="165" fontId="17" fillId="0" borderId="1" xfId="0" applyNumberFormat="1" applyFont="1" applyFill="1" applyBorder="1" applyAlignment="1">
      <alignment horizontal="center" vertical="center"/>
    </xf>
    <xf numFmtId="4" fontId="36" fillId="0" borderId="1" xfId="0" applyNumberFormat="1" applyFont="1" applyFill="1" applyBorder="1" applyAlignment="1">
      <alignment horizontal="right" vertical="center" wrapText="1"/>
    </xf>
    <xf numFmtId="4" fontId="42" fillId="0" borderId="0" xfId="0" applyNumberFormat="1" applyFont="1" applyFill="1" applyBorder="1" applyAlignment="1">
      <alignment vertical="center"/>
    </xf>
    <xf numFmtId="166" fontId="22" fillId="0" borderId="1" xfId="0" applyNumberFormat="1" applyFont="1" applyFill="1" applyBorder="1" applyAlignment="1">
      <alignment horizontal="center" vertical="center"/>
    </xf>
    <xf numFmtId="165" fontId="22" fillId="9" borderId="1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4" fontId="24" fillId="0" borderId="0" xfId="0" applyNumberFormat="1" applyFont="1" applyFill="1" applyBorder="1" applyAlignment="1">
      <alignment horizontal="center" vertical="center" wrapText="1"/>
    </xf>
    <xf numFmtId="4" fontId="46" fillId="0" borderId="0" xfId="0" applyNumberFormat="1" applyFont="1" applyFill="1" applyBorder="1" applyAlignment="1">
      <alignment horizontal="center" vertical="center" wrapText="1"/>
    </xf>
    <xf numFmtId="3" fontId="46" fillId="0" borderId="0" xfId="0" applyNumberFormat="1" applyFont="1" applyFill="1" applyBorder="1" applyAlignment="1">
      <alignment horizontal="center" vertical="center" wrapText="1"/>
    </xf>
    <xf numFmtId="165" fontId="46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/>
    <xf numFmtId="3" fontId="46" fillId="0" borderId="0" xfId="0" applyNumberFormat="1" applyFont="1" applyFill="1" applyBorder="1"/>
    <xf numFmtId="4" fontId="46" fillId="0" borderId="0" xfId="0" applyNumberFormat="1" applyFont="1" applyFill="1" applyBorder="1"/>
    <xf numFmtId="0" fontId="29" fillId="0" borderId="0" xfId="0" applyFont="1" applyFill="1" applyBorder="1"/>
    <xf numFmtId="0" fontId="46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4" fontId="47" fillId="0" borderId="0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center" vertical="center" wrapText="1"/>
    </xf>
    <xf numFmtId="4" fontId="20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D38575\PL03.%20BANG%20TINH%20SDD%20QHPK%20PHIA%20DONG%20TP%20LANG%20SON%2024.07.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uongthanh/Dropbox/TINHKH~1/TINHLA~1/081653~1.DIE/016EBB~1.DUL/@QUYHO~1/019980~1.KIE/1DF4A~1.200/PL03.%20BANG%20TINH%20SDD%20QHPK%20PHIA%20DONG%20TP%20LANG%20SON%2024.07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CHỈ TIÊU"/>
      <sheetName val="TỔNG HỢP"/>
      <sheetName val="CHI TIẾT"/>
      <sheetName val="QHCT"/>
      <sheetName val="Sheet1"/>
      <sheetName val="Sheet2"/>
    </sheetNames>
    <sheetDataSet>
      <sheetData sheetId="0"/>
      <sheetData sheetId="1"/>
      <sheetData sheetId="2">
        <row r="3">
          <cell r="F3">
            <v>723.276295</v>
          </cell>
        </row>
      </sheetData>
      <sheetData sheetId="3">
        <row r="7">
          <cell r="K7">
            <v>1818.7499999999998</v>
          </cell>
        </row>
        <row r="8">
          <cell r="D8">
            <v>5.9849999999999994</v>
          </cell>
        </row>
        <row r="14">
          <cell r="D14">
            <v>21.339999999999996</v>
          </cell>
          <cell r="K14">
            <v>1566</v>
          </cell>
        </row>
        <row r="35">
          <cell r="D35">
            <v>0.2883</v>
          </cell>
        </row>
        <row r="36">
          <cell r="D36">
            <v>0.56999999999999995</v>
          </cell>
        </row>
        <row r="38">
          <cell r="D38">
            <v>0.35</v>
          </cell>
        </row>
        <row r="41">
          <cell r="D41">
            <v>18.814299999999996</v>
          </cell>
        </row>
        <row r="48">
          <cell r="D48">
            <v>36.28</v>
          </cell>
        </row>
        <row r="51">
          <cell r="D51">
            <v>1.65</v>
          </cell>
        </row>
        <row r="54">
          <cell r="D54">
            <v>9.4390999999999998</v>
          </cell>
        </row>
        <row r="59">
          <cell r="D59">
            <v>0.60940000000000005</v>
          </cell>
        </row>
        <row r="60">
          <cell r="D60">
            <v>0.42</v>
          </cell>
        </row>
        <row r="61">
          <cell r="D61">
            <v>19.440000000000001</v>
          </cell>
        </row>
        <row r="62">
          <cell r="D62">
            <v>4.3100000000000005</v>
          </cell>
        </row>
        <row r="67">
          <cell r="D67">
            <v>1.8165999999999998</v>
          </cell>
        </row>
        <row r="73">
          <cell r="D73">
            <v>15.950000000000001</v>
          </cell>
        </row>
        <row r="79">
          <cell r="D79">
            <v>2.93</v>
          </cell>
        </row>
        <row r="80">
          <cell r="D80">
            <v>2.29</v>
          </cell>
        </row>
        <row r="81">
          <cell r="D81">
            <v>0.64</v>
          </cell>
        </row>
        <row r="86">
          <cell r="K86">
            <v>15491.214285714286</v>
          </cell>
        </row>
        <row r="87">
          <cell r="D87">
            <v>49.105000000000004</v>
          </cell>
        </row>
        <row r="106">
          <cell r="D106">
            <v>49.389800000000001</v>
          </cell>
          <cell r="K106">
            <v>3621.9261129009665</v>
          </cell>
        </row>
        <row r="125">
          <cell r="D125">
            <v>4.8774999999999995</v>
          </cell>
        </row>
        <row r="130">
          <cell r="D130">
            <v>4.99</v>
          </cell>
        </row>
        <row r="136">
          <cell r="D136">
            <v>0.78</v>
          </cell>
        </row>
        <row r="140">
          <cell r="D140">
            <v>1.55</v>
          </cell>
        </row>
        <row r="142">
          <cell r="D142">
            <v>2.75</v>
          </cell>
        </row>
        <row r="147">
          <cell r="D147">
            <v>0.91079999999999994</v>
          </cell>
        </row>
        <row r="152">
          <cell r="D152">
            <v>1.54</v>
          </cell>
        </row>
        <row r="155">
          <cell r="D155">
            <v>7.2685999999999993</v>
          </cell>
        </row>
        <row r="158">
          <cell r="D158">
            <v>8.0500000000000007</v>
          </cell>
        </row>
        <row r="164">
          <cell r="D164">
            <v>1.28</v>
          </cell>
        </row>
        <row r="165">
          <cell r="D165">
            <v>3.2416999999999998</v>
          </cell>
        </row>
        <row r="169">
          <cell r="D169">
            <v>4.0065999999999997</v>
          </cell>
        </row>
        <row r="173">
          <cell r="D173">
            <v>3.93</v>
          </cell>
        </row>
        <row r="180">
          <cell r="D180">
            <v>1.8099999999999998</v>
          </cell>
        </row>
        <row r="181">
          <cell r="D181">
            <v>0.64</v>
          </cell>
        </row>
        <row r="182">
          <cell r="D182">
            <v>0.32</v>
          </cell>
        </row>
        <row r="183">
          <cell r="D183">
            <v>0.69</v>
          </cell>
        </row>
        <row r="184">
          <cell r="D184">
            <v>0.16</v>
          </cell>
        </row>
        <row r="189">
          <cell r="K189">
            <v>10127.928571428572</v>
          </cell>
        </row>
        <row r="190">
          <cell r="D190">
            <v>40.264800000000001</v>
          </cell>
        </row>
        <row r="201">
          <cell r="D201">
            <v>5.6960999999999995</v>
          </cell>
        </row>
        <row r="205">
          <cell r="D205">
            <v>2.6316000000000002</v>
          </cell>
        </row>
        <row r="208">
          <cell r="D208">
            <v>72.277000000000001</v>
          </cell>
          <cell r="K208">
            <v>5320</v>
          </cell>
        </row>
        <row r="239">
          <cell r="D239">
            <v>8.0004999999999988</v>
          </cell>
        </row>
        <row r="243">
          <cell r="D243">
            <v>1.8431000000000002</v>
          </cell>
        </row>
        <row r="249">
          <cell r="D249">
            <v>0.75</v>
          </cell>
        </row>
        <row r="253">
          <cell r="D253">
            <v>1.6099999999999999</v>
          </cell>
        </row>
        <row r="257">
          <cell r="D257">
            <v>2.1124999999999998</v>
          </cell>
        </row>
        <row r="263">
          <cell r="D263">
            <v>31.1922</v>
          </cell>
        </row>
        <row r="270">
          <cell r="D270">
            <v>0.32</v>
          </cell>
        </row>
        <row r="271">
          <cell r="D271">
            <v>0.68</v>
          </cell>
        </row>
        <row r="272">
          <cell r="D272">
            <v>0.9</v>
          </cell>
        </row>
        <row r="275">
          <cell r="D275">
            <v>3.2499999999999996</v>
          </cell>
        </row>
        <row r="282">
          <cell r="D282">
            <v>0.94</v>
          </cell>
        </row>
        <row r="283">
          <cell r="D283">
            <v>5.15</v>
          </cell>
        </row>
        <row r="287">
          <cell r="D287">
            <v>0.67</v>
          </cell>
        </row>
        <row r="291">
          <cell r="D291">
            <v>7.65</v>
          </cell>
        </row>
        <row r="295">
          <cell r="D295">
            <v>2.34</v>
          </cell>
        </row>
        <row r="302">
          <cell r="D302">
            <v>21.92</v>
          </cell>
        </row>
        <row r="305">
          <cell r="D305">
            <v>6.6762999999999995</v>
          </cell>
        </row>
        <row r="311">
          <cell r="D311">
            <v>18.670000000000002</v>
          </cell>
        </row>
        <row r="323">
          <cell r="D323">
            <v>2.79</v>
          </cell>
        </row>
        <row r="324">
          <cell r="D324">
            <v>0.54</v>
          </cell>
        </row>
        <row r="325">
          <cell r="D325">
            <v>0.74</v>
          </cell>
        </row>
        <row r="326">
          <cell r="D326">
            <v>0.73</v>
          </cell>
        </row>
        <row r="327">
          <cell r="D327">
            <v>0.35</v>
          </cell>
        </row>
        <row r="328">
          <cell r="D328">
            <v>0.43</v>
          </cell>
        </row>
        <row r="333">
          <cell r="K333">
            <v>6373.7142857142862</v>
          </cell>
        </row>
        <row r="334">
          <cell r="D334">
            <v>20.25</v>
          </cell>
        </row>
        <row r="348">
          <cell r="D348">
            <v>0.65</v>
          </cell>
        </row>
        <row r="350">
          <cell r="D350">
            <v>40.756399999999999</v>
          </cell>
          <cell r="K350">
            <v>3081.0142745027379</v>
          </cell>
        </row>
        <row r="369">
          <cell r="D369">
            <v>1.2</v>
          </cell>
        </row>
        <row r="372">
          <cell r="D372">
            <v>0.13</v>
          </cell>
        </row>
        <row r="373">
          <cell r="D373">
            <v>7.0000000000000007E-2</v>
          </cell>
        </row>
        <row r="374">
          <cell r="D374">
            <v>7.01</v>
          </cell>
        </row>
        <row r="378">
          <cell r="D378">
            <v>1.0899999999999999</v>
          </cell>
        </row>
        <row r="382">
          <cell r="D382">
            <v>1.1200000000000001</v>
          </cell>
        </row>
        <row r="385">
          <cell r="D385">
            <v>2.8200000000000003</v>
          </cell>
        </row>
        <row r="389">
          <cell r="D389">
            <v>9.9711999999999996</v>
          </cell>
        </row>
        <row r="401">
          <cell r="D401">
            <v>0.19</v>
          </cell>
        </row>
        <row r="402">
          <cell r="D402">
            <v>0.2</v>
          </cell>
        </row>
        <row r="406">
          <cell r="D406">
            <v>0.47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CHỈ TIÊU"/>
      <sheetName val="TỔNG HỢP"/>
      <sheetName val="CHI TIẾT"/>
      <sheetName val="QHCT"/>
      <sheetName val="Sheet1"/>
      <sheetName val="Sheet2"/>
    </sheetNames>
    <sheetDataSet>
      <sheetData sheetId="0" refreshError="1"/>
      <sheetData sheetId="1" refreshError="1"/>
      <sheetData sheetId="2" refreshError="1"/>
      <sheetData sheetId="3">
        <row r="7">
          <cell r="K7">
            <v>1818.7499999999998</v>
          </cell>
        </row>
        <row r="8">
          <cell r="D8">
            <v>5.9849999999999994</v>
          </cell>
        </row>
        <row r="14">
          <cell r="D14">
            <v>21.339999999999996</v>
          </cell>
          <cell r="K14">
            <v>1566</v>
          </cell>
        </row>
        <row r="35">
          <cell r="D35">
            <v>0.2883</v>
          </cell>
        </row>
        <row r="36">
          <cell r="D36">
            <v>0.56999999999999995</v>
          </cell>
        </row>
        <row r="38">
          <cell r="D38">
            <v>0.35</v>
          </cell>
        </row>
        <row r="41">
          <cell r="D41">
            <v>18.814299999999996</v>
          </cell>
        </row>
        <row r="48">
          <cell r="D48">
            <v>36.28</v>
          </cell>
        </row>
        <row r="51">
          <cell r="D51">
            <v>1.65</v>
          </cell>
        </row>
        <row r="54">
          <cell r="D54">
            <v>9.4390999999999998</v>
          </cell>
        </row>
        <row r="59">
          <cell r="D59">
            <v>0.60940000000000005</v>
          </cell>
        </row>
        <row r="60">
          <cell r="D60">
            <v>0.42</v>
          </cell>
        </row>
        <row r="61">
          <cell r="D61">
            <v>19.440000000000001</v>
          </cell>
        </row>
        <row r="62">
          <cell r="D62">
            <v>4.3100000000000005</v>
          </cell>
        </row>
        <row r="67">
          <cell r="D67">
            <v>1.8165999999999998</v>
          </cell>
        </row>
        <row r="73">
          <cell r="D73">
            <v>15.950000000000001</v>
          </cell>
        </row>
        <row r="79">
          <cell r="D79">
            <v>2.93</v>
          </cell>
        </row>
        <row r="80">
          <cell r="D80">
            <v>2.29</v>
          </cell>
        </row>
        <row r="81">
          <cell r="D81">
            <v>0.64</v>
          </cell>
        </row>
        <row r="86">
          <cell r="K86">
            <v>15491.214285714286</v>
          </cell>
        </row>
        <row r="87">
          <cell r="D87">
            <v>49.105000000000004</v>
          </cell>
        </row>
        <row r="106">
          <cell r="D106">
            <v>49.389800000000001</v>
          </cell>
          <cell r="K106">
            <v>3621.9261129009665</v>
          </cell>
        </row>
        <row r="125">
          <cell r="D125">
            <v>4.8774999999999995</v>
          </cell>
        </row>
        <row r="130">
          <cell r="D130">
            <v>4.99</v>
          </cell>
        </row>
        <row r="136">
          <cell r="D136">
            <v>0.78</v>
          </cell>
        </row>
        <row r="140">
          <cell r="D140">
            <v>1.55</v>
          </cell>
        </row>
        <row r="142">
          <cell r="D142">
            <v>2.75</v>
          </cell>
        </row>
        <row r="147">
          <cell r="D147">
            <v>0.91079999999999994</v>
          </cell>
        </row>
        <row r="152">
          <cell r="D152">
            <v>1.54</v>
          </cell>
        </row>
        <row r="155">
          <cell r="D155">
            <v>7.2685999999999993</v>
          </cell>
        </row>
        <row r="158">
          <cell r="D158">
            <v>8.0500000000000007</v>
          </cell>
        </row>
        <row r="164">
          <cell r="D164">
            <v>1.28</v>
          </cell>
        </row>
        <row r="165">
          <cell r="D165">
            <v>3.2416999999999998</v>
          </cell>
        </row>
        <row r="169">
          <cell r="D169">
            <v>4.0065999999999997</v>
          </cell>
        </row>
        <row r="173">
          <cell r="D173">
            <v>3.93</v>
          </cell>
        </row>
        <row r="180">
          <cell r="D180">
            <v>1.8099999999999998</v>
          </cell>
        </row>
        <row r="181">
          <cell r="D181">
            <v>0.64</v>
          </cell>
        </row>
        <row r="182">
          <cell r="D182">
            <v>0.32</v>
          </cell>
        </row>
        <row r="183">
          <cell r="D183">
            <v>0.69</v>
          </cell>
        </row>
        <row r="184">
          <cell r="D184">
            <v>0.16</v>
          </cell>
        </row>
        <row r="189">
          <cell r="K189">
            <v>10127.928571428572</v>
          </cell>
        </row>
        <row r="190">
          <cell r="D190">
            <v>40.264800000000001</v>
          </cell>
        </row>
        <row r="201">
          <cell r="D201">
            <v>5.6960999999999995</v>
          </cell>
        </row>
        <row r="205">
          <cell r="D205">
            <v>2.6316000000000002</v>
          </cell>
        </row>
        <row r="208">
          <cell r="D208">
            <v>72.277000000000001</v>
          </cell>
          <cell r="K208">
            <v>5320</v>
          </cell>
        </row>
        <row r="239">
          <cell r="D239">
            <v>8.0004999999999988</v>
          </cell>
        </row>
        <row r="243">
          <cell r="D243">
            <v>1.8431000000000002</v>
          </cell>
        </row>
        <row r="249">
          <cell r="D249">
            <v>0.75</v>
          </cell>
        </row>
        <row r="253">
          <cell r="D253">
            <v>1.6099999999999999</v>
          </cell>
        </row>
        <row r="257">
          <cell r="D257">
            <v>2.1124999999999998</v>
          </cell>
        </row>
        <row r="263">
          <cell r="D263">
            <v>31.1922</v>
          </cell>
        </row>
        <row r="270">
          <cell r="D270">
            <v>0.32</v>
          </cell>
        </row>
        <row r="271">
          <cell r="D271">
            <v>0.68</v>
          </cell>
        </row>
        <row r="272">
          <cell r="D272">
            <v>0.9</v>
          </cell>
        </row>
        <row r="275">
          <cell r="D275">
            <v>3.2499999999999996</v>
          </cell>
        </row>
        <row r="282">
          <cell r="D282">
            <v>0.94</v>
          </cell>
        </row>
        <row r="283">
          <cell r="D283">
            <v>5.15</v>
          </cell>
        </row>
        <row r="287">
          <cell r="D287">
            <v>0.67</v>
          </cell>
        </row>
        <row r="291">
          <cell r="D291">
            <v>7.65</v>
          </cell>
        </row>
        <row r="295">
          <cell r="D295">
            <v>2.34</v>
          </cell>
        </row>
        <row r="302">
          <cell r="D302">
            <v>21.92</v>
          </cell>
        </row>
        <row r="305">
          <cell r="D305">
            <v>6.6762999999999995</v>
          </cell>
        </row>
        <row r="311">
          <cell r="D311">
            <v>18.670000000000002</v>
          </cell>
        </row>
        <row r="323">
          <cell r="D323">
            <v>2.79</v>
          </cell>
        </row>
        <row r="324">
          <cell r="D324">
            <v>0.54</v>
          </cell>
        </row>
        <row r="325">
          <cell r="D325">
            <v>0.74</v>
          </cell>
        </row>
        <row r="326">
          <cell r="D326">
            <v>0.73</v>
          </cell>
        </row>
        <row r="327">
          <cell r="D327">
            <v>0.35</v>
          </cell>
        </row>
        <row r="328">
          <cell r="D328">
            <v>0.43</v>
          </cell>
        </row>
        <row r="333">
          <cell r="K333">
            <v>6373.7142857142862</v>
          </cell>
        </row>
        <row r="334">
          <cell r="D334">
            <v>20.25</v>
          </cell>
        </row>
        <row r="348">
          <cell r="D348">
            <v>0.65</v>
          </cell>
        </row>
        <row r="350">
          <cell r="D350">
            <v>40.756399999999999</v>
          </cell>
          <cell r="K350">
            <v>3081.0142745027379</v>
          </cell>
        </row>
        <row r="369">
          <cell r="D369">
            <v>1.2</v>
          </cell>
        </row>
        <row r="372">
          <cell r="D372">
            <v>0.13</v>
          </cell>
        </row>
        <row r="373">
          <cell r="D373">
            <v>7.0000000000000007E-2</v>
          </cell>
        </row>
        <row r="374">
          <cell r="D374">
            <v>7.01</v>
          </cell>
        </row>
        <row r="378">
          <cell r="D378">
            <v>1.0899999999999999</v>
          </cell>
        </row>
        <row r="382">
          <cell r="D382">
            <v>1.1200000000000001</v>
          </cell>
        </row>
        <row r="385">
          <cell r="D385">
            <v>2.8200000000000003</v>
          </cell>
        </row>
        <row r="389">
          <cell r="D389">
            <v>9.9711999999999996</v>
          </cell>
        </row>
        <row r="401">
          <cell r="D401">
            <v>0.19</v>
          </cell>
        </row>
        <row r="402">
          <cell r="D402">
            <v>0.2</v>
          </cell>
        </row>
        <row r="406">
          <cell r="D406">
            <v>0.47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="85" zoomScaleNormal="85" workbookViewId="0">
      <selection activeCell="B37" sqref="B37"/>
    </sheetView>
  </sheetViews>
  <sheetFormatPr defaultColWidth="9.140625" defaultRowHeight="14.25" x14ac:dyDescent="0.2"/>
  <cols>
    <col min="1" max="1" width="7.140625" style="4" customWidth="1"/>
    <col min="2" max="2" width="32.7109375" style="1" bestFit="1" customWidth="1"/>
    <col min="3" max="3" width="11.140625" style="4" bestFit="1" customWidth="1"/>
    <col min="4" max="4" width="12.7109375" style="24" customWidth="1"/>
    <col min="5" max="5" width="12.7109375" style="1" customWidth="1"/>
    <col min="6" max="6" width="11.85546875" style="1" customWidth="1"/>
    <col min="7" max="7" width="11.85546875" style="1" hidden="1" customWidth="1"/>
    <col min="8" max="8" width="13.7109375" style="1" customWidth="1"/>
    <col min="9" max="11" width="10.28515625" style="1" customWidth="1"/>
    <col min="12" max="16384" width="9.140625" style="1"/>
  </cols>
  <sheetData>
    <row r="1" spans="1:11" ht="24" customHeight="1" x14ac:dyDescent="0.2">
      <c r="A1" s="409" t="s">
        <v>68</v>
      </c>
      <c r="B1" s="409"/>
      <c r="C1" s="409"/>
      <c r="D1" s="409"/>
      <c r="E1" s="409"/>
      <c r="F1" s="409"/>
      <c r="G1" s="409"/>
      <c r="H1" s="10"/>
      <c r="I1" s="5"/>
      <c r="J1" s="5"/>
      <c r="K1" s="5"/>
    </row>
    <row r="2" spans="1:11" ht="15" customHeight="1" x14ac:dyDescent="0.2">
      <c r="A2" s="410" t="s">
        <v>0</v>
      </c>
      <c r="B2" s="410" t="s">
        <v>9</v>
      </c>
      <c r="C2" s="410" t="s">
        <v>10</v>
      </c>
      <c r="D2" s="411" t="s">
        <v>70</v>
      </c>
      <c r="E2" s="410" t="s">
        <v>69</v>
      </c>
      <c r="F2" s="410" t="s">
        <v>11</v>
      </c>
      <c r="G2" s="410" t="s">
        <v>12</v>
      </c>
      <c r="H2" s="408"/>
      <c r="I2" s="6"/>
      <c r="J2" s="6"/>
      <c r="K2" s="6"/>
    </row>
    <row r="3" spans="1:11" ht="15" x14ac:dyDescent="0.2">
      <c r="A3" s="410"/>
      <c r="B3" s="410"/>
      <c r="C3" s="410"/>
      <c r="D3" s="411"/>
      <c r="E3" s="410"/>
      <c r="F3" s="410"/>
      <c r="G3" s="410"/>
      <c r="H3" s="408"/>
      <c r="I3" s="6"/>
      <c r="J3" s="6"/>
      <c r="K3" s="6"/>
    </row>
    <row r="4" spans="1:11" s="2" customFormat="1" ht="15.75" customHeight="1" x14ac:dyDescent="0.25">
      <c r="A4" s="14"/>
      <c r="B4" s="25" t="s">
        <v>1</v>
      </c>
      <c r="C4" s="16"/>
      <c r="D4" s="28">
        <v>6131441.5999999996</v>
      </c>
      <c r="E4" s="29">
        <f>D4/10000</f>
        <v>613.14415999999994</v>
      </c>
      <c r="F4" s="29">
        <f>SUM(F5,F17)</f>
        <v>100</v>
      </c>
      <c r="G4" s="15"/>
      <c r="H4" s="22"/>
      <c r="I4" s="20"/>
      <c r="J4" s="9"/>
      <c r="K4" s="9"/>
    </row>
    <row r="5" spans="1:11" s="2" customFormat="1" ht="15.75" customHeight="1" x14ac:dyDescent="0.25">
      <c r="A5" s="16">
        <v>1</v>
      </c>
      <c r="B5" s="25" t="s">
        <v>33</v>
      </c>
      <c r="C5" s="16"/>
      <c r="D5" s="28">
        <f>SUM(D6,D9,D13,D14)</f>
        <v>3006808.81</v>
      </c>
      <c r="E5" s="29">
        <f t="shared" ref="E5:E33" si="0">D5/10000</f>
        <v>300.680881</v>
      </c>
      <c r="F5" s="29">
        <f t="shared" ref="F5:F33" si="1">E5/$E$4*100</f>
        <v>49.039182074244991</v>
      </c>
      <c r="G5" s="15" t="e">
        <f>((E12*0.3+#REF!))*10000/'TONG HOP'!#REF!</f>
        <v>#REF!</v>
      </c>
      <c r="H5" s="13"/>
      <c r="I5" s="6"/>
      <c r="J5" s="9"/>
      <c r="K5" s="9"/>
    </row>
    <row r="6" spans="1:11" s="2" customFormat="1" ht="15.75" customHeight="1" x14ac:dyDescent="0.25">
      <c r="A6" s="16" t="s">
        <v>31</v>
      </c>
      <c r="B6" s="25" t="s">
        <v>40</v>
      </c>
      <c r="C6" s="16"/>
      <c r="D6" s="28">
        <f>SUM(D7:D8)</f>
        <v>107981.42</v>
      </c>
      <c r="E6" s="29">
        <f t="shared" si="0"/>
        <v>10.798142</v>
      </c>
      <c r="F6" s="29">
        <f t="shared" si="1"/>
        <v>1.7611098179586349</v>
      </c>
      <c r="G6" s="15"/>
      <c r="H6" s="13"/>
      <c r="I6" s="6"/>
      <c r="J6" s="9"/>
      <c r="K6" s="9"/>
    </row>
    <row r="7" spans="1:11" s="3" customFormat="1" ht="15.75" customHeight="1" x14ac:dyDescent="0.2">
      <c r="A7" s="11" t="s">
        <v>13</v>
      </c>
      <c r="B7" s="26" t="s">
        <v>34</v>
      </c>
      <c r="C7" s="30" t="s">
        <v>72</v>
      </c>
      <c r="D7" s="31">
        <v>105574.86</v>
      </c>
      <c r="E7" s="32">
        <f t="shared" si="0"/>
        <v>10.557486000000001</v>
      </c>
      <c r="F7" s="32">
        <f t="shared" si="1"/>
        <v>1.7218603207441463</v>
      </c>
      <c r="G7" s="12"/>
      <c r="H7" s="17"/>
      <c r="I7" s="20"/>
      <c r="J7" s="8"/>
      <c r="K7" s="8"/>
    </row>
    <row r="8" spans="1:11" s="3" customFormat="1" ht="15.75" customHeight="1" x14ac:dyDescent="0.2">
      <c r="A8" s="11" t="s">
        <v>42</v>
      </c>
      <c r="B8" s="26" t="s">
        <v>35</v>
      </c>
      <c r="C8" s="30" t="s">
        <v>71</v>
      </c>
      <c r="D8" s="31">
        <v>2406.56</v>
      </c>
      <c r="E8" s="32">
        <f t="shared" si="0"/>
        <v>0.24065599999999998</v>
      </c>
      <c r="F8" s="32">
        <f t="shared" si="1"/>
        <v>3.9249497214488678E-2</v>
      </c>
      <c r="G8" s="12"/>
      <c r="H8" s="17"/>
      <c r="I8" s="20"/>
      <c r="J8" s="8"/>
      <c r="K8" s="8"/>
    </row>
    <row r="9" spans="1:11" s="2" customFormat="1" ht="15.75" customHeight="1" x14ac:dyDescent="0.25">
      <c r="A9" s="18" t="s">
        <v>24</v>
      </c>
      <c r="B9" s="27" t="s">
        <v>2</v>
      </c>
      <c r="C9" s="33"/>
      <c r="D9" s="34">
        <f>SUM(D10:D12)</f>
        <v>2421979.7000000002</v>
      </c>
      <c r="E9" s="35">
        <f t="shared" si="0"/>
        <v>242.19797000000003</v>
      </c>
      <c r="F9" s="35">
        <f t="shared" si="1"/>
        <v>39.500982933605705</v>
      </c>
      <c r="G9" s="19"/>
      <c r="H9" s="10"/>
      <c r="I9" s="21"/>
      <c r="J9" s="7"/>
      <c r="K9" s="7"/>
    </row>
    <row r="10" spans="1:11" s="3" customFormat="1" ht="15.75" customHeight="1" x14ac:dyDescent="0.2">
      <c r="A10" s="11" t="s">
        <v>14</v>
      </c>
      <c r="B10" s="26" t="s">
        <v>36</v>
      </c>
      <c r="C10" s="30" t="s">
        <v>73</v>
      </c>
      <c r="D10" s="31">
        <v>953364.17</v>
      </c>
      <c r="E10" s="32">
        <f t="shared" si="0"/>
        <v>95.336416999999997</v>
      </c>
      <c r="F10" s="32">
        <f t="shared" si="1"/>
        <v>15.548776816205834</v>
      </c>
      <c r="G10" s="12"/>
      <c r="H10" s="17"/>
      <c r="I10" s="20"/>
      <c r="J10" s="8"/>
      <c r="K10" s="8"/>
    </row>
    <row r="11" spans="1:11" s="3" customFormat="1" ht="15.75" customHeight="1" x14ac:dyDescent="0.2">
      <c r="A11" s="11" t="s">
        <v>15</v>
      </c>
      <c r="B11" s="26" t="s">
        <v>37</v>
      </c>
      <c r="C11" s="30" t="s">
        <v>22</v>
      </c>
      <c r="D11" s="31">
        <v>129595.99</v>
      </c>
      <c r="E11" s="32">
        <f t="shared" si="0"/>
        <v>12.959599000000001</v>
      </c>
      <c r="F11" s="32">
        <f t="shared" si="1"/>
        <v>2.1136300148402296</v>
      </c>
      <c r="G11" s="12"/>
      <c r="H11" s="17"/>
      <c r="I11" s="20"/>
      <c r="J11" s="8"/>
      <c r="K11" s="8"/>
    </row>
    <row r="12" spans="1:11" s="3" customFormat="1" ht="15.75" customHeight="1" x14ac:dyDescent="0.2">
      <c r="A12" s="11" t="s">
        <v>16</v>
      </c>
      <c r="B12" s="26" t="s">
        <v>38</v>
      </c>
      <c r="C12" s="30" t="s">
        <v>5</v>
      </c>
      <c r="D12" s="31">
        <v>1339019.54</v>
      </c>
      <c r="E12" s="32">
        <f t="shared" si="0"/>
        <v>133.90195400000002</v>
      </c>
      <c r="F12" s="32">
        <f t="shared" si="1"/>
        <v>21.838576102559635</v>
      </c>
      <c r="G12" s="12"/>
      <c r="H12" s="17"/>
      <c r="I12" s="20"/>
      <c r="J12" s="8"/>
      <c r="K12" s="8"/>
    </row>
    <row r="13" spans="1:11" s="2" customFormat="1" ht="15.75" customHeight="1" x14ac:dyDescent="0.25">
      <c r="A13" s="18" t="s">
        <v>23</v>
      </c>
      <c r="B13" s="27" t="s">
        <v>39</v>
      </c>
      <c r="C13" s="33" t="s">
        <v>74</v>
      </c>
      <c r="D13" s="34">
        <v>10403.48</v>
      </c>
      <c r="E13" s="35">
        <f t="shared" si="0"/>
        <v>1.0403480000000001</v>
      </c>
      <c r="F13" s="35">
        <f t="shared" si="1"/>
        <v>0.16967428997448172</v>
      </c>
      <c r="G13" s="19"/>
      <c r="H13" s="10"/>
      <c r="I13" s="21"/>
      <c r="J13" s="7"/>
      <c r="K13" s="7"/>
    </row>
    <row r="14" spans="1:11" s="2" customFormat="1" ht="15.75" customHeight="1" x14ac:dyDescent="0.25">
      <c r="A14" s="18" t="s">
        <v>43</v>
      </c>
      <c r="B14" s="27" t="s">
        <v>41</v>
      </c>
      <c r="C14" s="33"/>
      <c r="D14" s="34">
        <f>SUM(D15:D16)</f>
        <v>466444.21</v>
      </c>
      <c r="E14" s="35">
        <f t="shared" si="0"/>
        <v>46.644421000000001</v>
      </c>
      <c r="F14" s="35">
        <f t="shared" si="1"/>
        <v>7.607415032706176</v>
      </c>
      <c r="G14" s="19"/>
      <c r="H14" s="10"/>
      <c r="I14" s="21"/>
      <c r="J14" s="7"/>
      <c r="K14" s="7"/>
    </row>
    <row r="15" spans="1:11" s="3" customFormat="1" ht="15.75" customHeight="1" x14ac:dyDescent="0.2">
      <c r="A15" s="11" t="s">
        <v>44</v>
      </c>
      <c r="B15" s="26" t="s">
        <v>18</v>
      </c>
      <c r="C15" s="30" t="s">
        <v>75</v>
      </c>
      <c r="D15" s="31">
        <v>406536.19</v>
      </c>
      <c r="E15" s="32">
        <f t="shared" si="0"/>
        <v>40.653618999999999</v>
      </c>
      <c r="F15" s="32">
        <f t="shared" si="1"/>
        <v>6.6303524769770288</v>
      </c>
      <c r="G15" s="12"/>
      <c r="H15" s="17"/>
      <c r="I15" s="20"/>
      <c r="J15" s="8"/>
      <c r="K15" s="8"/>
    </row>
    <row r="16" spans="1:11" s="3" customFormat="1" ht="15.75" customHeight="1" x14ac:dyDescent="0.2">
      <c r="A16" s="11" t="s">
        <v>45</v>
      </c>
      <c r="B16" s="26" t="s">
        <v>17</v>
      </c>
      <c r="C16" s="30" t="s">
        <v>76</v>
      </c>
      <c r="D16" s="31">
        <v>59908.02</v>
      </c>
      <c r="E16" s="32">
        <f t="shared" si="0"/>
        <v>5.9908019999999995</v>
      </c>
      <c r="F16" s="32">
        <f t="shared" si="1"/>
        <v>0.97706255572914547</v>
      </c>
      <c r="G16" s="12"/>
      <c r="H16" s="17"/>
      <c r="I16" s="20"/>
      <c r="J16" s="8"/>
      <c r="K16" s="8"/>
    </row>
    <row r="17" spans="1:11" s="2" customFormat="1" ht="15.75" customHeight="1" x14ac:dyDescent="0.25">
      <c r="A17" s="16">
        <v>2</v>
      </c>
      <c r="B17" s="25" t="s">
        <v>46</v>
      </c>
      <c r="C17" s="16"/>
      <c r="D17" s="28">
        <f>D4-D5</f>
        <v>3124632.7899999996</v>
      </c>
      <c r="E17" s="29">
        <f t="shared" si="0"/>
        <v>312.46327899999994</v>
      </c>
      <c r="F17" s="29">
        <f t="shared" si="1"/>
        <v>50.960817925755009</v>
      </c>
      <c r="G17" s="15"/>
      <c r="H17" s="13"/>
      <c r="I17" s="6"/>
      <c r="J17" s="9"/>
      <c r="K17" s="9"/>
    </row>
    <row r="18" spans="1:11" s="2" customFormat="1" ht="15.75" customHeight="1" x14ac:dyDescent="0.25">
      <c r="A18" s="18" t="s">
        <v>29</v>
      </c>
      <c r="B18" s="27" t="s">
        <v>32</v>
      </c>
      <c r="C18" s="33" t="s">
        <v>7</v>
      </c>
      <c r="D18" s="34">
        <v>40951.300000000003</v>
      </c>
      <c r="E18" s="35">
        <f t="shared" si="0"/>
        <v>4.0951300000000002</v>
      </c>
      <c r="F18" s="35">
        <f t="shared" si="1"/>
        <v>0.66789023971132677</v>
      </c>
      <c r="G18" s="19"/>
      <c r="H18" s="10"/>
      <c r="I18" s="21"/>
      <c r="J18" s="7"/>
      <c r="K18" s="7"/>
    </row>
    <row r="19" spans="1:11" s="2" customFormat="1" ht="15.75" customHeight="1" x14ac:dyDescent="0.25">
      <c r="A19" s="18" t="s">
        <v>28</v>
      </c>
      <c r="B19" s="27" t="s">
        <v>47</v>
      </c>
      <c r="C19" s="33" t="s">
        <v>77</v>
      </c>
      <c r="D19" s="34">
        <v>372566.75</v>
      </c>
      <c r="E19" s="35">
        <f t="shared" si="0"/>
        <v>37.256675000000001</v>
      </c>
      <c r="F19" s="35">
        <f t="shared" si="1"/>
        <v>6.076332032584312</v>
      </c>
      <c r="G19" s="19"/>
      <c r="H19" s="10"/>
      <c r="I19" s="21"/>
      <c r="J19" s="7"/>
      <c r="K19" s="7"/>
    </row>
    <row r="20" spans="1:11" s="2" customFormat="1" ht="15.75" customHeight="1" x14ac:dyDescent="0.25">
      <c r="A20" s="18" t="s">
        <v>30</v>
      </c>
      <c r="B20" s="27" t="s">
        <v>48</v>
      </c>
      <c r="C20" s="33" t="s">
        <v>78</v>
      </c>
      <c r="D20" s="34">
        <v>22728.94</v>
      </c>
      <c r="E20" s="35">
        <f t="shared" si="0"/>
        <v>2.272894</v>
      </c>
      <c r="F20" s="35">
        <f t="shared" si="1"/>
        <v>0.37069487867257844</v>
      </c>
      <c r="G20" s="19"/>
      <c r="H20" s="10"/>
      <c r="I20" s="21"/>
      <c r="J20" s="7"/>
      <c r="K20" s="7"/>
    </row>
    <row r="21" spans="1:11" s="2" customFormat="1" ht="15.75" customHeight="1" x14ac:dyDescent="0.25">
      <c r="A21" s="18" t="s">
        <v>26</v>
      </c>
      <c r="B21" s="27" t="s">
        <v>49</v>
      </c>
      <c r="C21" s="33" t="s">
        <v>4</v>
      </c>
      <c r="D21" s="34">
        <v>9371.2000000000007</v>
      </c>
      <c r="E21" s="35">
        <f t="shared" si="0"/>
        <v>0.93712000000000006</v>
      </c>
      <c r="F21" s="35">
        <f t="shared" si="1"/>
        <v>0.1528384450403964</v>
      </c>
      <c r="G21" s="19"/>
      <c r="H21" s="10"/>
      <c r="I21" s="21"/>
      <c r="J21" s="7"/>
      <c r="K21" s="7"/>
    </row>
    <row r="22" spans="1:11" s="2" customFormat="1" ht="15.75" customHeight="1" x14ac:dyDescent="0.25">
      <c r="A22" s="18" t="s">
        <v>25</v>
      </c>
      <c r="B22" s="27" t="s">
        <v>50</v>
      </c>
      <c r="C22" s="33" t="s">
        <v>79</v>
      </c>
      <c r="D22" s="34">
        <v>3227.5</v>
      </c>
      <c r="E22" s="35">
        <f t="shared" si="0"/>
        <v>0.32274999999999998</v>
      </c>
      <c r="F22" s="35">
        <f t="shared" si="1"/>
        <v>5.2638518158600753E-2</v>
      </c>
      <c r="G22" s="19"/>
      <c r="H22" s="10"/>
      <c r="I22" s="21"/>
      <c r="J22" s="7"/>
      <c r="K22" s="7"/>
    </row>
    <row r="23" spans="1:11" s="2" customFormat="1" ht="15.75" customHeight="1" x14ac:dyDescent="0.25">
      <c r="A23" s="18" t="s">
        <v>57</v>
      </c>
      <c r="B23" s="27" t="s">
        <v>21</v>
      </c>
      <c r="C23" s="33" t="s">
        <v>6</v>
      </c>
      <c r="D23" s="34">
        <v>497238.37</v>
      </c>
      <c r="E23" s="35">
        <f t="shared" si="0"/>
        <v>49.723836999999996</v>
      </c>
      <c r="F23" s="35">
        <f t="shared" si="1"/>
        <v>8.1096486346701901</v>
      </c>
      <c r="G23" s="19"/>
      <c r="H23" s="10"/>
      <c r="I23" s="21"/>
      <c r="J23" s="7"/>
      <c r="K23" s="7"/>
    </row>
    <row r="24" spans="1:11" s="2" customFormat="1" ht="15.75" customHeight="1" x14ac:dyDescent="0.25">
      <c r="A24" s="18" t="s">
        <v>58</v>
      </c>
      <c r="B24" s="27" t="s">
        <v>51</v>
      </c>
      <c r="C24" s="33" t="s">
        <v>8</v>
      </c>
      <c r="D24" s="34">
        <v>194352.99</v>
      </c>
      <c r="E24" s="35">
        <f t="shared" si="0"/>
        <v>19.435299000000001</v>
      </c>
      <c r="F24" s="35">
        <f t="shared" si="1"/>
        <v>3.1697764193008058</v>
      </c>
      <c r="G24" s="19"/>
      <c r="H24" s="10"/>
      <c r="I24" s="21"/>
      <c r="J24" s="7"/>
      <c r="K24" s="7"/>
    </row>
    <row r="25" spans="1:11" s="2" customFormat="1" ht="15.75" customHeight="1" x14ac:dyDescent="0.25">
      <c r="A25" s="18" t="s">
        <v>59</v>
      </c>
      <c r="B25" s="27" t="s">
        <v>19</v>
      </c>
      <c r="C25" s="33" t="s">
        <v>80</v>
      </c>
      <c r="D25" s="34">
        <v>64974.9</v>
      </c>
      <c r="E25" s="35">
        <f t="shared" si="0"/>
        <v>6.49749</v>
      </c>
      <c r="F25" s="35">
        <f t="shared" si="1"/>
        <v>1.059700217971578</v>
      </c>
      <c r="G25" s="19"/>
      <c r="H25" s="10"/>
      <c r="I25" s="21"/>
      <c r="J25" s="7"/>
      <c r="K25" s="7"/>
    </row>
    <row r="26" spans="1:11" s="2" customFormat="1" ht="15.75" customHeight="1" x14ac:dyDescent="0.25">
      <c r="A26" s="18" t="s">
        <v>60</v>
      </c>
      <c r="B26" s="27" t="s">
        <v>41</v>
      </c>
      <c r="C26" s="33"/>
      <c r="D26" s="34">
        <f>SUM(D27:D30)</f>
        <v>816654.52</v>
      </c>
      <c r="E26" s="35">
        <f t="shared" si="0"/>
        <v>81.665452000000002</v>
      </c>
      <c r="F26" s="35">
        <f t="shared" si="1"/>
        <v>13.319127429999497</v>
      </c>
      <c r="G26" s="19"/>
      <c r="H26" s="10"/>
      <c r="I26" s="21"/>
      <c r="J26" s="7"/>
      <c r="K26" s="7"/>
    </row>
    <row r="27" spans="1:11" s="3" customFormat="1" x14ac:dyDescent="0.2">
      <c r="A27" s="36" t="s">
        <v>64</v>
      </c>
      <c r="B27" s="37" t="s">
        <v>52</v>
      </c>
      <c r="C27" s="38" t="s">
        <v>81</v>
      </c>
      <c r="D27" s="39">
        <v>22416.62</v>
      </c>
      <c r="E27" s="32">
        <f t="shared" si="0"/>
        <v>2.2416619999999998</v>
      </c>
      <c r="F27" s="32">
        <f t="shared" si="1"/>
        <v>0.36560113367140284</v>
      </c>
      <c r="G27" s="23"/>
    </row>
    <row r="28" spans="1:11" s="3" customFormat="1" x14ac:dyDescent="0.2">
      <c r="A28" s="36" t="s">
        <v>65</v>
      </c>
      <c r="B28" s="37" t="s">
        <v>20</v>
      </c>
      <c r="C28" s="38" t="s">
        <v>82</v>
      </c>
      <c r="D28" s="39">
        <v>88929</v>
      </c>
      <c r="E28" s="32">
        <f t="shared" si="0"/>
        <v>8.8928999999999991</v>
      </c>
      <c r="F28" s="32">
        <f t="shared" si="1"/>
        <v>1.4503766944465393</v>
      </c>
      <c r="G28" s="23"/>
    </row>
    <row r="29" spans="1:11" s="3" customFormat="1" x14ac:dyDescent="0.2">
      <c r="A29" s="36" t="s">
        <v>66</v>
      </c>
      <c r="B29" s="37" t="s">
        <v>53</v>
      </c>
      <c r="C29" s="38" t="s">
        <v>83</v>
      </c>
      <c r="D29" s="39">
        <v>380170.79</v>
      </c>
      <c r="E29" s="32">
        <f t="shared" si="0"/>
        <v>38.017078999999995</v>
      </c>
      <c r="F29" s="32">
        <f t="shared" si="1"/>
        <v>6.2003491968348845</v>
      </c>
      <c r="G29" s="23"/>
    </row>
    <row r="30" spans="1:11" s="3" customFormat="1" x14ac:dyDescent="0.2">
      <c r="A30" s="36" t="s">
        <v>67</v>
      </c>
      <c r="B30" s="37" t="s">
        <v>54</v>
      </c>
      <c r="C30" s="38" t="s">
        <v>84</v>
      </c>
      <c r="D30" s="39">
        <v>325138.11</v>
      </c>
      <c r="E30" s="32">
        <f t="shared" si="0"/>
        <v>32.513810999999997</v>
      </c>
      <c r="F30" s="32">
        <f t="shared" si="1"/>
        <v>5.3028004050466695</v>
      </c>
      <c r="G30" s="23"/>
    </row>
    <row r="31" spans="1:11" s="2" customFormat="1" ht="15.75" customHeight="1" x14ac:dyDescent="0.25">
      <c r="A31" s="18" t="s">
        <v>61</v>
      </c>
      <c r="B31" s="27" t="s">
        <v>55</v>
      </c>
      <c r="C31" s="33" t="s">
        <v>85</v>
      </c>
      <c r="D31" s="34">
        <v>75480</v>
      </c>
      <c r="E31" s="35">
        <f t="shared" si="0"/>
        <v>7.548</v>
      </c>
      <c r="F31" s="35">
        <f t="shared" si="1"/>
        <v>1.2310318669593134</v>
      </c>
      <c r="G31" s="19"/>
      <c r="H31" s="10"/>
      <c r="I31" s="21"/>
      <c r="J31" s="7"/>
      <c r="K31" s="7"/>
    </row>
    <row r="32" spans="1:11" s="2" customFormat="1" ht="15.75" customHeight="1" x14ac:dyDescent="0.25">
      <c r="A32" s="18" t="s">
        <v>62</v>
      </c>
      <c r="B32" s="27" t="s">
        <v>56</v>
      </c>
      <c r="C32" s="33" t="s">
        <v>3</v>
      </c>
      <c r="D32" s="34">
        <v>84588.81</v>
      </c>
      <c r="E32" s="35">
        <f t="shared" si="0"/>
        <v>8.4588809999999999</v>
      </c>
      <c r="F32" s="35">
        <f t="shared" si="1"/>
        <v>1.3795908942523405</v>
      </c>
      <c r="G32" s="19"/>
      <c r="H32" s="10"/>
      <c r="I32" s="21"/>
      <c r="J32" s="7"/>
      <c r="K32" s="7"/>
    </row>
    <row r="33" spans="1:11" s="2" customFormat="1" ht="15.75" customHeight="1" x14ac:dyDescent="0.25">
      <c r="A33" s="18" t="s">
        <v>63</v>
      </c>
      <c r="B33" s="27" t="s">
        <v>27</v>
      </c>
      <c r="C33" s="33"/>
      <c r="D33" s="34">
        <f>D17-D18-D19-D20-D21-D22-D23-D24-D25-D31-D32</f>
        <v>1759152.0299999996</v>
      </c>
      <c r="E33" s="35">
        <f t="shared" si="0"/>
        <v>175.91520299999996</v>
      </c>
      <c r="F33" s="35">
        <f t="shared" si="1"/>
        <v>28.690675778433572</v>
      </c>
      <c r="G33" s="19"/>
      <c r="H33" s="10"/>
      <c r="I33" s="21"/>
      <c r="J33" s="7"/>
      <c r="K33" s="7"/>
    </row>
  </sheetData>
  <mergeCells count="9">
    <mergeCell ref="H2:H3"/>
    <mergeCell ref="A1:G1"/>
    <mergeCell ref="A2:A3"/>
    <mergeCell ref="B2:B3"/>
    <mergeCell ref="C2:C3"/>
    <mergeCell ref="E2:E3"/>
    <mergeCell ref="F2:F3"/>
    <mergeCell ref="G2:G3"/>
    <mergeCell ref="D2:D3"/>
  </mergeCells>
  <phoneticPr fontId="8" type="noConversion"/>
  <pageMargins left="0.7" right="0.7" top="0.75" bottom="0.75" header="0.3" footer="0.3"/>
  <pageSetup paperSize="191" scale="9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1"/>
  <sheetViews>
    <sheetView workbookViewId="0">
      <selection activeCell="D7" sqref="D7:D9"/>
    </sheetView>
  </sheetViews>
  <sheetFormatPr defaultRowHeight="15" x14ac:dyDescent="0.25"/>
  <cols>
    <col min="1" max="1" width="6.42578125" style="403" customWidth="1"/>
    <col min="2" max="2" width="46.85546875" style="404" customWidth="1"/>
    <col min="3" max="3" width="10.5703125" style="403" customWidth="1"/>
    <col min="4" max="5" width="14.42578125" style="405" customWidth="1"/>
    <col min="6" max="6" width="14.5703125" style="405" customWidth="1"/>
    <col min="7" max="7" width="9.85546875" style="406" customWidth="1"/>
    <col min="8" max="8" width="10.42578125" style="407" customWidth="1"/>
    <col min="9" max="9" width="23.28515625" style="397" customWidth="1"/>
    <col min="10" max="10" width="7.7109375" style="401" customWidth="1"/>
    <col min="11" max="11" width="10.140625" style="401" bestFit="1" customWidth="1"/>
    <col min="12" max="12" width="13.7109375" style="401" customWidth="1"/>
    <col min="13" max="13" width="9.140625" style="401"/>
    <col min="14" max="14" width="0" style="401" hidden="1" customWidth="1"/>
    <col min="15" max="15" width="16.7109375" style="399" hidden="1" customWidth="1"/>
    <col min="16" max="16" width="10.28515625" style="399" hidden="1" customWidth="1"/>
    <col min="17" max="17" width="10.42578125" style="400" hidden="1" customWidth="1"/>
    <col min="18" max="18" width="10.140625" style="398" hidden="1" customWidth="1"/>
    <col min="19" max="19" width="14.7109375" style="398" hidden="1" customWidth="1"/>
    <col min="20" max="20" width="10.140625" style="398" hidden="1" customWidth="1"/>
    <col min="21" max="21" width="13.140625" style="398" hidden="1" customWidth="1"/>
    <col min="22" max="35" width="9.140625" style="398"/>
    <col min="36" max="16384" width="9.140625" style="401"/>
  </cols>
  <sheetData>
    <row r="1" spans="1:41" s="341" customFormat="1" ht="15.75" x14ac:dyDescent="0.25">
      <c r="A1" s="426" t="s">
        <v>109</v>
      </c>
      <c r="B1" s="426"/>
      <c r="C1" s="426"/>
      <c r="D1" s="426"/>
      <c r="E1" s="426"/>
      <c r="F1" s="426"/>
      <c r="G1" s="426"/>
      <c r="H1" s="426"/>
      <c r="I1" s="426"/>
      <c r="J1" s="338"/>
      <c r="K1" s="338"/>
      <c r="L1" s="338"/>
      <c r="M1" s="338"/>
      <c r="N1" s="338"/>
      <c r="O1" s="339"/>
      <c r="P1" s="339"/>
      <c r="Q1" s="340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</row>
    <row r="2" spans="1:41" s="341" customFormat="1" ht="45.75" customHeight="1" x14ac:dyDescent="0.25">
      <c r="A2" s="319" t="s">
        <v>86</v>
      </c>
      <c r="B2" s="342" t="s">
        <v>87</v>
      </c>
      <c r="C2" s="319" t="s">
        <v>10</v>
      </c>
      <c r="D2" s="228" t="s">
        <v>647</v>
      </c>
      <c r="E2" s="228"/>
      <c r="F2" s="228" t="s">
        <v>648</v>
      </c>
      <c r="G2" s="228" t="s">
        <v>88</v>
      </c>
      <c r="H2" s="229" t="s">
        <v>646</v>
      </c>
      <c r="I2" s="319" t="s">
        <v>636</v>
      </c>
      <c r="J2" s="338"/>
      <c r="K2" s="338"/>
      <c r="L2" s="338"/>
      <c r="M2" s="338"/>
      <c r="N2" s="338"/>
      <c r="O2" s="339"/>
      <c r="P2" s="339"/>
      <c r="Q2" s="340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</row>
    <row r="3" spans="1:41" s="349" customFormat="1" ht="15.75" x14ac:dyDescent="0.25">
      <c r="A3" s="319"/>
      <c r="B3" s="342" t="s">
        <v>108</v>
      </c>
      <c r="C3" s="319"/>
      <c r="D3" s="343">
        <v>7232762.9500000002</v>
      </c>
      <c r="E3" s="343"/>
      <c r="F3" s="343">
        <f>+D3/10000</f>
        <v>723.276295</v>
      </c>
      <c r="G3" s="343">
        <v>100</v>
      </c>
      <c r="H3" s="344">
        <f>+H4</f>
        <v>47400</v>
      </c>
      <c r="I3" s="345"/>
      <c r="J3" s="346"/>
      <c r="K3" s="346"/>
      <c r="L3" s="347">
        <v>37916</v>
      </c>
      <c r="M3" s="346"/>
      <c r="N3" s="346"/>
      <c r="O3" s="347"/>
      <c r="P3" s="347"/>
      <c r="Q3" s="348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</row>
    <row r="4" spans="1:41" s="357" customFormat="1" ht="15.75" x14ac:dyDescent="0.25">
      <c r="A4" s="246" t="s">
        <v>606</v>
      </c>
      <c r="B4" s="350" t="s">
        <v>627</v>
      </c>
      <c r="C4" s="246"/>
      <c r="D4" s="351">
        <f>+D5+D15+D16+D17</f>
        <v>3680496.42</v>
      </c>
      <c r="E4" s="351">
        <f>+D4/10000</f>
        <v>368.04964200000001</v>
      </c>
      <c r="F4" s="351">
        <f>+F5+F15+F16+F17</f>
        <v>368.04269999999991</v>
      </c>
      <c r="G4" s="351">
        <f t="shared" ref="G4:G39" si="0">+F4/$F$3*100</f>
        <v>50.885491829923716</v>
      </c>
      <c r="H4" s="352">
        <f>ROUND(+H6+H10,-1)</f>
        <v>47400</v>
      </c>
      <c r="I4" s="353"/>
      <c r="J4" s="354"/>
      <c r="K4" s="354"/>
      <c r="L4" s="354"/>
      <c r="M4" s="354"/>
      <c r="N4" s="354"/>
      <c r="O4" s="355"/>
      <c r="P4" s="355"/>
      <c r="Q4" s="356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4"/>
      <c r="AO4" s="354"/>
    </row>
    <row r="5" spans="1:41" s="341" customFormat="1" ht="15.75" x14ac:dyDescent="0.25">
      <c r="A5" s="358">
        <v>1</v>
      </c>
      <c r="B5" s="359" t="s">
        <v>593</v>
      </c>
      <c r="C5" s="358"/>
      <c r="D5" s="360">
        <f>+D6+D10+D11+D12+D13+D14</f>
        <v>3322004.2800000003</v>
      </c>
      <c r="E5" s="360">
        <f t="shared" ref="E5:E40" si="1">+D5/10000</f>
        <v>332.20042800000004</v>
      </c>
      <c r="F5" s="360">
        <f>+F6+F10+F11+F12+F13+F14</f>
        <v>332.19509999999991</v>
      </c>
      <c r="G5" s="360">
        <f t="shared" si="0"/>
        <v>45.929211602324102</v>
      </c>
      <c r="H5" s="361"/>
      <c r="I5" s="358"/>
      <c r="J5" s="362"/>
      <c r="K5" s="363">
        <f>+F3-F25-F21-F32</f>
        <v>582.96689499999991</v>
      </c>
      <c r="L5" s="338"/>
      <c r="N5" s="338"/>
      <c r="O5" s="364" t="s">
        <v>650</v>
      </c>
      <c r="P5" s="364"/>
      <c r="Q5" s="365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</row>
    <row r="6" spans="1:41" s="341" customFormat="1" ht="15.75" x14ac:dyDescent="0.25">
      <c r="A6" s="358" t="s">
        <v>31</v>
      </c>
      <c r="B6" s="359" t="s">
        <v>89</v>
      </c>
      <c r="C6" s="359"/>
      <c r="D6" s="366">
        <f>+D7+D8+D9</f>
        <v>1245783.28</v>
      </c>
      <c r="E6" s="366">
        <f>+E7+E8+E9</f>
        <v>124.578328</v>
      </c>
      <c r="F6" s="366">
        <f>+F7+F8+F9</f>
        <v>124.58250000000001</v>
      </c>
      <c r="G6" s="360">
        <f t="shared" si="0"/>
        <v>17.224745351290686</v>
      </c>
      <c r="H6" s="367">
        <f>+'[2]CHI TIẾT'!K7+'[2]CHI TIẾT'!K86+'[2]CHI TIẾT'!K189+'[2]CHI TIẾT'!K333</f>
        <v>33811.607142857145</v>
      </c>
      <c r="I6" s="359"/>
      <c r="L6" s="368"/>
      <c r="N6" s="368"/>
      <c r="O6" s="364">
        <v>40</v>
      </c>
      <c r="P6" s="364">
        <v>1000</v>
      </c>
      <c r="Q6" s="364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</row>
    <row r="7" spans="1:41" s="341" customFormat="1" ht="15.75" x14ac:dyDescent="0.25">
      <c r="A7" s="369" t="s">
        <v>13</v>
      </c>
      <c r="B7" s="370" t="s">
        <v>706</v>
      </c>
      <c r="C7" s="369" t="s">
        <v>73</v>
      </c>
      <c r="D7" s="371">
        <v>1156023.7</v>
      </c>
      <c r="E7" s="371">
        <f>+D7/10000</f>
        <v>115.60236999999999</v>
      </c>
      <c r="F7" s="372">
        <f>+'[2]CHI TIẾT'!D8+'[2]CHI TIẾT'!D87+'[2]CHI TIẾT'!D190+'[2]CHI TIẾT'!D334</f>
        <v>115.60480000000001</v>
      </c>
      <c r="G7" s="371">
        <f t="shared" si="0"/>
        <v>15.983490790334834</v>
      </c>
      <c r="H7" s="373"/>
      <c r="I7" s="358"/>
      <c r="L7" s="368"/>
      <c r="N7" s="368"/>
      <c r="O7" s="364">
        <f>+P7*O6/P6</f>
        <v>1516.64</v>
      </c>
      <c r="P7" s="364">
        <f>+L3</f>
        <v>37916</v>
      </c>
      <c r="Q7" s="364">
        <f>+O7*10</f>
        <v>15166.400000000001</v>
      </c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</row>
    <row r="8" spans="1:41" s="341" customFormat="1" ht="15.75" x14ac:dyDescent="0.25">
      <c r="A8" s="369" t="s">
        <v>42</v>
      </c>
      <c r="B8" s="370" t="s">
        <v>37</v>
      </c>
      <c r="C8" s="369" t="s">
        <v>22</v>
      </c>
      <c r="D8" s="371">
        <v>56962.33</v>
      </c>
      <c r="E8" s="371">
        <f>+D8/10000</f>
        <v>5.6962330000000003</v>
      </c>
      <c r="F8" s="371">
        <f>+'[2]CHI TIẾT'!D201</f>
        <v>5.6960999999999995</v>
      </c>
      <c r="G8" s="371">
        <f t="shared" si="0"/>
        <v>0.78754136412005593</v>
      </c>
      <c r="H8" s="367"/>
      <c r="I8" s="358"/>
      <c r="J8" s="338"/>
      <c r="K8" s="338"/>
      <c r="L8" s="338"/>
      <c r="M8" s="338"/>
      <c r="N8" s="338"/>
      <c r="O8" s="338"/>
      <c r="P8" s="339"/>
      <c r="Q8" s="340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</row>
    <row r="9" spans="1:41" s="341" customFormat="1" ht="15.75" x14ac:dyDescent="0.25">
      <c r="A9" s="369" t="s">
        <v>734</v>
      </c>
      <c r="B9" s="370" t="s">
        <v>725</v>
      </c>
      <c r="C9" s="369" t="s">
        <v>78</v>
      </c>
      <c r="D9" s="371">
        <v>32797.25</v>
      </c>
      <c r="E9" s="371">
        <f>+D9/10000</f>
        <v>3.279725</v>
      </c>
      <c r="F9" s="371">
        <f>+'[2]CHI TIẾT'!D205+'[2]CHI TIẾT'!D348</f>
        <v>3.2816000000000001</v>
      </c>
      <c r="G9" s="371">
        <f t="shared" si="0"/>
        <v>0.45371319683579558</v>
      </c>
      <c r="H9" s="367"/>
      <c r="I9" s="358"/>
      <c r="J9" s="338"/>
      <c r="K9" s="338"/>
      <c r="L9" s="338"/>
      <c r="M9" s="338"/>
      <c r="N9" s="338"/>
      <c r="O9" s="338"/>
      <c r="P9" s="339"/>
      <c r="Q9" s="340"/>
      <c r="R9" s="338"/>
      <c r="S9" s="374" t="s">
        <v>710</v>
      </c>
      <c r="T9" s="375"/>
      <c r="U9" s="375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</row>
    <row r="10" spans="1:41" s="381" customFormat="1" ht="15.75" x14ac:dyDescent="0.25">
      <c r="A10" s="358" t="s">
        <v>24</v>
      </c>
      <c r="B10" s="359" t="s">
        <v>90</v>
      </c>
      <c r="C10" s="369" t="s">
        <v>110</v>
      </c>
      <c r="D10" s="372">
        <v>1837730.57</v>
      </c>
      <c r="E10" s="372">
        <f t="shared" si="1"/>
        <v>183.77305699999999</v>
      </c>
      <c r="F10" s="371">
        <f>+'[2]CHI TIẾT'!D14+'[2]CHI TIẾT'!D106+'[2]CHI TIẾT'!D208+'[2]CHI TIẾT'!D350</f>
        <v>183.76319999999998</v>
      </c>
      <c r="G10" s="371">
        <f t="shared" si="0"/>
        <v>25.407054160402144</v>
      </c>
      <c r="H10" s="367">
        <f>+'[2]CHI TIẾT'!K14+'[2]CHI TIẾT'!K106+'[2]CHI TIẾT'!K208+'[2]CHI TIẾT'!K350</f>
        <v>13588.940387403705</v>
      </c>
      <c r="I10" s="376"/>
      <c r="J10" s="377"/>
      <c r="K10" s="377"/>
      <c r="L10" s="377">
        <v>144.29</v>
      </c>
      <c r="M10" s="378">
        <v>10508</v>
      </c>
      <c r="N10" s="377"/>
      <c r="O10" s="364" t="s">
        <v>652</v>
      </c>
      <c r="P10" s="379"/>
      <c r="Q10" s="380"/>
      <c r="R10" s="377"/>
      <c r="S10" s="374">
        <v>65</v>
      </c>
      <c r="T10" s="364">
        <v>1000</v>
      </c>
      <c r="U10" s="374"/>
      <c r="V10" s="377"/>
      <c r="W10" s="377"/>
      <c r="X10" s="377"/>
      <c r="Y10" s="377"/>
      <c r="Z10" s="377"/>
      <c r="AA10" s="377"/>
      <c r="AB10" s="377"/>
      <c r="AC10" s="377"/>
      <c r="AD10" s="377"/>
      <c r="AE10" s="377"/>
      <c r="AF10" s="377"/>
      <c r="AG10" s="377"/>
      <c r="AH10" s="377"/>
      <c r="AI10" s="377"/>
      <c r="AJ10" s="377"/>
      <c r="AK10" s="377"/>
      <c r="AL10" s="377"/>
      <c r="AM10" s="377"/>
      <c r="AN10" s="377"/>
      <c r="AO10" s="377"/>
    </row>
    <row r="11" spans="1:41" s="341" customFormat="1" ht="15.75" x14ac:dyDescent="0.25">
      <c r="A11" s="358" t="s">
        <v>23</v>
      </c>
      <c r="B11" s="359" t="s">
        <v>629</v>
      </c>
      <c r="C11" s="369" t="s">
        <v>113</v>
      </c>
      <c r="D11" s="371">
        <v>131666.75</v>
      </c>
      <c r="E11" s="360">
        <f t="shared" si="1"/>
        <v>13.166675</v>
      </c>
      <c r="F11" s="371">
        <f>+'[2]CHI TIẾT'!D35+'[2]CHI TIẾT'!D125+'[2]CHI TIẾT'!D239</f>
        <v>13.166299999999998</v>
      </c>
      <c r="G11" s="371">
        <f t="shared" si="0"/>
        <v>1.8203693513832082</v>
      </c>
      <c r="H11" s="367"/>
      <c r="I11" s="358"/>
      <c r="J11" s="338"/>
      <c r="K11" s="338"/>
      <c r="L11" s="368">
        <f>423067.71/10000</f>
        <v>42.306771000000005</v>
      </c>
      <c r="M11" s="378">
        <f>+L11*M10/L10</f>
        <v>3081.0142745027379</v>
      </c>
      <c r="N11" s="338"/>
      <c r="O11" s="364">
        <v>50</v>
      </c>
      <c r="P11" s="364">
        <v>1000</v>
      </c>
      <c r="Q11" s="382"/>
      <c r="R11" s="338"/>
      <c r="S11" s="364">
        <f>+T11*S10/T10</f>
        <v>2464.54</v>
      </c>
      <c r="T11" s="364">
        <f>+L3</f>
        <v>37916</v>
      </c>
      <c r="U11" s="365">
        <f>+S11*10</f>
        <v>24645.4</v>
      </c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</row>
    <row r="12" spans="1:41" s="385" customFormat="1" ht="15.75" x14ac:dyDescent="0.25">
      <c r="A12" s="358" t="s">
        <v>43</v>
      </c>
      <c r="B12" s="359" t="s">
        <v>628</v>
      </c>
      <c r="C12" s="369" t="s">
        <v>121</v>
      </c>
      <c r="D12" s="371">
        <v>86066.83</v>
      </c>
      <c r="E12" s="360">
        <f t="shared" si="1"/>
        <v>8.6066830000000003</v>
      </c>
      <c r="F12" s="371">
        <f>+'[2]CHI TIẾT'!D36+'[2]CHI TIẾT'!D130+'[2]CHI TIẾT'!D243+'[2]CHI TIẾT'!D369</f>
        <v>8.6030999999999995</v>
      </c>
      <c r="G12" s="371">
        <f t="shared" si="0"/>
        <v>1.1894624584647835</v>
      </c>
      <c r="H12" s="367"/>
      <c r="I12" s="383"/>
      <c r="J12" s="384"/>
      <c r="K12" s="384"/>
      <c r="L12" s="384"/>
      <c r="M12" s="384"/>
      <c r="N12" s="384"/>
      <c r="O12" s="364">
        <f>+P12*O11/P11</f>
        <v>1895.8</v>
      </c>
      <c r="P12" s="364">
        <f>+L3</f>
        <v>37916</v>
      </c>
      <c r="Q12" s="382">
        <f>+O12*12</f>
        <v>22749.599999999999</v>
      </c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  <c r="AC12" s="384"/>
      <c r="AD12" s="384"/>
      <c r="AE12" s="384"/>
      <c r="AF12" s="384"/>
      <c r="AG12" s="384"/>
      <c r="AH12" s="384"/>
      <c r="AI12" s="384"/>
      <c r="AJ12" s="384"/>
      <c r="AK12" s="384"/>
      <c r="AL12" s="384"/>
      <c r="AM12" s="384"/>
      <c r="AN12" s="384"/>
      <c r="AO12" s="384"/>
    </row>
    <row r="13" spans="1:41" s="341" customFormat="1" ht="15.75" x14ac:dyDescent="0.25">
      <c r="A13" s="358" t="s">
        <v>735</v>
      </c>
      <c r="B13" s="359" t="s">
        <v>91</v>
      </c>
      <c r="C13" s="369" t="s">
        <v>111</v>
      </c>
      <c r="D13" s="371">
        <v>19457.060000000001</v>
      </c>
      <c r="E13" s="360">
        <f t="shared" si="1"/>
        <v>1.9457060000000002</v>
      </c>
      <c r="F13" s="371">
        <f>+'[2]CHI TIẾT'!D38+'[2]CHI TIẾT'!D136+'[2]CHI TIẾT'!D249+'[2]CHI TIẾT'!D373</f>
        <v>1.95</v>
      </c>
      <c r="G13" s="371">
        <f t="shared" si="0"/>
        <v>0.26960651323433737</v>
      </c>
      <c r="H13" s="367"/>
      <c r="I13" s="383"/>
      <c r="J13" s="338"/>
      <c r="K13" s="386">
        <f>+S11+S16+O12</f>
        <v>6445.72</v>
      </c>
      <c r="L13" s="338"/>
      <c r="M13" s="339">
        <f>+M10+M11</f>
        <v>13589.014274502737</v>
      </c>
      <c r="N13" s="338"/>
      <c r="O13" s="339"/>
      <c r="P13" s="339"/>
      <c r="Q13" s="340"/>
      <c r="R13" s="338"/>
      <c r="S13" s="374" t="s">
        <v>654</v>
      </c>
      <c r="T13" s="374"/>
      <c r="U13" s="374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</row>
    <row r="14" spans="1:41" s="341" customFormat="1" ht="15.75" x14ac:dyDescent="0.25">
      <c r="A14" s="358" t="s">
        <v>815</v>
      </c>
      <c r="B14" s="359" t="s">
        <v>47</v>
      </c>
      <c r="C14" s="369" t="s">
        <v>77</v>
      </c>
      <c r="D14" s="371">
        <v>1299.79</v>
      </c>
      <c r="E14" s="360">
        <f t="shared" si="1"/>
        <v>0.12997899999999998</v>
      </c>
      <c r="F14" s="371">
        <f>+'[2]CHI TIẾT'!D372</f>
        <v>0.13</v>
      </c>
      <c r="G14" s="371">
        <f t="shared" si="0"/>
        <v>1.7973767548955823E-2</v>
      </c>
      <c r="H14" s="367"/>
      <c r="I14" s="383"/>
      <c r="J14" s="338"/>
      <c r="K14" s="386"/>
      <c r="L14" s="338"/>
      <c r="M14" s="339">
        <f>+M13+H6</f>
        <v>47400.621417359886</v>
      </c>
      <c r="N14" s="338"/>
      <c r="O14" s="339"/>
      <c r="P14" s="339"/>
      <c r="Q14" s="340"/>
      <c r="R14" s="338"/>
      <c r="S14" s="374"/>
      <c r="T14" s="374"/>
      <c r="U14" s="374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</row>
    <row r="15" spans="1:41" s="341" customFormat="1" ht="15.75" x14ac:dyDescent="0.25">
      <c r="A15" s="358">
        <v>2</v>
      </c>
      <c r="B15" s="359" t="s">
        <v>633</v>
      </c>
      <c r="C15" s="358" t="s">
        <v>74</v>
      </c>
      <c r="D15" s="360">
        <v>15530.92</v>
      </c>
      <c r="E15" s="360">
        <f t="shared" si="1"/>
        <v>1.5530919999999999</v>
      </c>
      <c r="F15" s="360">
        <f>+'[2]CHI TIẾT'!D140</f>
        <v>1.55</v>
      </c>
      <c r="G15" s="360">
        <f t="shared" si="0"/>
        <v>0.21430261308370405</v>
      </c>
      <c r="H15" s="361"/>
      <c r="I15" s="358"/>
      <c r="J15" s="338"/>
      <c r="L15" s="338" t="s">
        <v>832</v>
      </c>
      <c r="M15" s="339">
        <v>16680</v>
      </c>
      <c r="N15" s="338"/>
      <c r="O15" s="338"/>
      <c r="P15" s="339"/>
      <c r="Q15" s="338"/>
      <c r="R15" s="338"/>
      <c r="S15" s="374">
        <v>55</v>
      </c>
      <c r="T15" s="364">
        <v>1000</v>
      </c>
      <c r="U15" s="374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</row>
    <row r="16" spans="1:41" s="341" customFormat="1" ht="15.75" x14ac:dyDescent="0.25">
      <c r="A16" s="358">
        <v>3</v>
      </c>
      <c r="B16" s="359" t="s">
        <v>632</v>
      </c>
      <c r="C16" s="358" t="s">
        <v>75</v>
      </c>
      <c r="D16" s="360">
        <v>301842.17</v>
      </c>
      <c r="E16" s="360">
        <f t="shared" si="1"/>
        <v>30.184216999999997</v>
      </c>
      <c r="F16" s="360">
        <f>+'[2]CHI TIẾT'!D41+'[2]CHI TIẾT'!D142+'[2]CHI TIẾT'!D253+'[2]CHI TIẾT'!D374</f>
        <v>30.184299999999993</v>
      </c>
      <c r="G16" s="360">
        <f t="shared" si="0"/>
        <v>4.1732737832919007</v>
      </c>
      <c r="H16" s="361"/>
      <c r="I16" s="358"/>
      <c r="J16" s="338"/>
      <c r="K16" s="338"/>
      <c r="M16" s="339"/>
      <c r="N16" s="338"/>
      <c r="O16" s="339"/>
      <c r="P16" s="339"/>
      <c r="Q16" s="363">
        <f>+Q12+U11+U16</f>
        <v>68248.800000000003</v>
      </c>
      <c r="R16" s="338"/>
      <c r="S16" s="364">
        <f>+T16*S15/T15</f>
        <v>2085.38</v>
      </c>
      <c r="T16" s="364">
        <f>+L3</f>
        <v>37916</v>
      </c>
      <c r="U16" s="365">
        <f>+S16*10</f>
        <v>20853.800000000003</v>
      </c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</row>
    <row r="17" spans="1:41" s="341" customFormat="1" ht="15.75" x14ac:dyDescent="0.25">
      <c r="A17" s="358">
        <v>4</v>
      </c>
      <c r="B17" s="359" t="s">
        <v>631</v>
      </c>
      <c r="C17" s="358" t="s">
        <v>7</v>
      </c>
      <c r="D17" s="360">
        <v>41119.050000000003</v>
      </c>
      <c r="E17" s="360">
        <f t="shared" si="1"/>
        <v>4.1119050000000001</v>
      </c>
      <c r="F17" s="360">
        <f>+'[2]CHI TIẾT'!D147+'[2]CHI TIẾT'!D257+'[2]CHI TIẾT'!D378</f>
        <v>4.1132999999999997</v>
      </c>
      <c r="G17" s="360">
        <f t="shared" si="0"/>
        <v>0.56870383122399992</v>
      </c>
      <c r="H17" s="361"/>
      <c r="I17" s="35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</row>
    <row r="18" spans="1:41" s="357" customFormat="1" ht="15.75" x14ac:dyDescent="0.25">
      <c r="A18" s="246" t="s">
        <v>607</v>
      </c>
      <c r="B18" s="350" t="s">
        <v>634</v>
      </c>
      <c r="C18" s="246"/>
      <c r="D18" s="351">
        <f>SUM(D19:D32)</f>
        <v>2338801.16</v>
      </c>
      <c r="E18" s="351">
        <f t="shared" si="1"/>
        <v>233.88011600000002</v>
      </c>
      <c r="F18" s="351">
        <f>+SUM(F19:F32)</f>
        <v>233.89170000000001</v>
      </c>
      <c r="G18" s="351">
        <f t="shared" si="0"/>
        <v>32.337808057154703</v>
      </c>
      <c r="H18" s="352"/>
      <c r="I18" s="353"/>
      <c r="J18" s="354"/>
      <c r="K18" s="354"/>
      <c r="L18" s="356"/>
      <c r="M18" s="354"/>
      <c r="N18" s="354"/>
      <c r="O18" s="355"/>
      <c r="P18" s="355"/>
      <c r="Q18" s="356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  <c r="AH18" s="354"/>
      <c r="AI18" s="354"/>
      <c r="AJ18" s="354"/>
      <c r="AK18" s="354"/>
      <c r="AL18" s="354"/>
      <c r="AM18" s="354"/>
      <c r="AN18" s="354"/>
      <c r="AO18" s="354"/>
    </row>
    <row r="19" spans="1:41" s="341" customFormat="1" ht="15.75" x14ac:dyDescent="0.25">
      <c r="A19" s="358">
        <v>1</v>
      </c>
      <c r="B19" s="359" t="s">
        <v>47</v>
      </c>
      <c r="C19" s="358" t="s">
        <v>77</v>
      </c>
      <c r="D19" s="360">
        <v>369674.25</v>
      </c>
      <c r="E19" s="360">
        <f t="shared" si="1"/>
        <v>36.967424999999999</v>
      </c>
      <c r="F19" s="360">
        <f>+'[2]CHI TIẾT'!D48+'[2]CHI TIẾT'!D271</f>
        <v>36.96</v>
      </c>
      <c r="G19" s="360">
        <f t="shared" si="0"/>
        <v>5.1100803739185174</v>
      </c>
      <c r="H19" s="361"/>
      <c r="I19" s="387"/>
      <c r="J19" s="338"/>
      <c r="K19" s="338"/>
      <c r="L19" s="338"/>
      <c r="M19" s="338"/>
      <c r="N19" s="338"/>
      <c r="O19" s="339"/>
      <c r="P19" s="339"/>
      <c r="Q19" s="340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</row>
    <row r="20" spans="1:41" s="341" customFormat="1" ht="15.75" x14ac:dyDescent="0.25">
      <c r="A20" s="358">
        <v>2</v>
      </c>
      <c r="B20" s="359" t="s">
        <v>92</v>
      </c>
      <c r="C20" s="358" t="s">
        <v>112</v>
      </c>
      <c r="D20" s="388">
        <v>43022.35</v>
      </c>
      <c r="E20" s="388">
        <f t="shared" si="1"/>
        <v>4.3022349999999996</v>
      </c>
      <c r="F20" s="388">
        <f>+'[2]CHI TIẾT'!D51+'[2]CHI TIẾT'!D152+'[2]CHI TIẾT'!D382</f>
        <v>4.3100000000000005</v>
      </c>
      <c r="G20" s="360">
        <f t="shared" si="0"/>
        <v>0.5958995241230739</v>
      </c>
      <c r="H20" s="361"/>
      <c r="I20" s="387"/>
      <c r="J20" s="338"/>
      <c r="K20" s="338"/>
      <c r="L20" s="338"/>
      <c r="M20" s="338"/>
      <c r="N20" s="338"/>
      <c r="O20" s="339" t="s">
        <v>652</v>
      </c>
      <c r="P20" s="339"/>
      <c r="Q20" s="340"/>
      <c r="R20" s="340">
        <v>18367.36</v>
      </c>
      <c r="S20" s="340"/>
      <c r="T20" s="340">
        <f>+R20</f>
        <v>18367.36</v>
      </c>
      <c r="U20" s="340">
        <f>+T20/O12</f>
        <v>9.6884481485388765</v>
      </c>
      <c r="V20" s="340"/>
      <c r="W20" s="340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</row>
    <row r="21" spans="1:41" s="341" customFormat="1" ht="15.75" x14ac:dyDescent="0.25">
      <c r="A21" s="358">
        <v>3</v>
      </c>
      <c r="B21" s="359" t="s">
        <v>96</v>
      </c>
      <c r="C21" s="358" t="s">
        <v>6</v>
      </c>
      <c r="D21" s="360">
        <v>479003.86</v>
      </c>
      <c r="E21" s="360">
        <f t="shared" si="1"/>
        <v>47.900385999999997</v>
      </c>
      <c r="F21" s="360">
        <f>+'[2]CHI TIẾT'!D54+'[2]CHI TIẾT'!D155+'[2]CHI TIẾT'!D263</f>
        <v>47.899900000000002</v>
      </c>
      <c r="G21" s="360">
        <f t="shared" si="0"/>
        <v>6.6226282170633004</v>
      </c>
      <c r="H21" s="361"/>
      <c r="I21" s="387"/>
      <c r="J21" s="338"/>
      <c r="K21" s="338"/>
      <c r="L21" s="338"/>
      <c r="M21" s="338"/>
      <c r="N21" s="338"/>
      <c r="O21" s="338" t="s">
        <v>653</v>
      </c>
      <c r="P21" s="339"/>
      <c r="Q21" s="340"/>
      <c r="R21" s="340">
        <v>10441.129999999999</v>
      </c>
      <c r="S21" s="340"/>
      <c r="T21" s="340">
        <f>+R21+S23</f>
        <v>25052.424999999999</v>
      </c>
      <c r="U21" s="340">
        <f>+T21/S11</f>
        <v>10.165152523391789</v>
      </c>
      <c r="V21" s="340"/>
      <c r="W21" s="340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</row>
    <row r="22" spans="1:41" s="341" customFormat="1" ht="15.75" x14ac:dyDescent="0.25">
      <c r="A22" s="358">
        <v>4</v>
      </c>
      <c r="B22" s="359" t="s">
        <v>97</v>
      </c>
      <c r="C22" s="358" t="s">
        <v>635</v>
      </c>
      <c r="D22" s="360">
        <v>3227.5</v>
      </c>
      <c r="E22" s="360">
        <f t="shared" si="1"/>
        <v>0.32274999999999998</v>
      </c>
      <c r="F22" s="360">
        <f>+'[2]CHI TIẾT'!D270</f>
        <v>0.32</v>
      </c>
      <c r="G22" s="360">
        <f t="shared" si="0"/>
        <v>4.4243120120506643E-2</v>
      </c>
      <c r="H22" s="361"/>
      <c r="I22" s="387"/>
      <c r="J22" s="338"/>
      <c r="K22" s="338"/>
      <c r="L22" s="338"/>
      <c r="M22" s="338"/>
      <c r="N22" s="338"/>
      <c r="O22" s="338" t="s">
        <v>654</v>
      </c>
      <c r="P22" s="339"/>
      <c r="Q22" s="340"/>
      <c r="R22" s="389">
        <v>11898.42</v>
      </c>
      <c r="S22" s="340"/>
      <c r="T22" s="340">
        <f>+R22+S23</f>
        <v>26509.715</v>
      </c>
      <c r="U22" s="340">
        <f>+T22/S16</f>
        <v>12.71217475951625</v>
      </c>
      <c r="V22" s="340"/>
      <c r="W22" s="340"/>
      <c r="X22" s="338"/>
      <c r="Y22" s="338"/>
      <c r="Z22" s="338"/>
      <c r="AA22" s="338"/>
      <c r="AB22" s="338"/>
      <c r="AC22" s="338"/>
      <c r="AD22" s="338"/>
      <c r="AE22" s="338"/>
      <c r="AF22" s="338"/>
      <c r="AG22" s="338"/>
      <c r="AH22" s="338"/>
      <c r="AI22" s="338"/>
      <c r="AJ22" s="338"/>
      <c r="AK22" s="338"/>
      <c r="AL22" s="338"/>
      <c r="AM22" s="338"/>
      <c r="AN22" s="338"/>
      <c r="AO22" s="338"/>
    </row>
    <row r="23" spans="1:41" s="341" customFormat="1" ht="15.75" x14ac:dyDescent="0.25">
      <c r="A23" s="358">
        <v>5</v>
      </c>
      <c r="B23" s="359" t="s">
        <v>98</v>
      </c>
      <c r="C23" s="358" t="s">
        <v>7</v>
      </c>
      <c r="D23" s="360">
        <v>43356.67</v>
      </c>
      <c r="E23" s="360">
        <f t="shared" si="1"/>
        <v>4.3356669999999999</v>
      </c>
      <c r="F23" s="360">
        <f>+'[2]CHI TIẾT'!D59+'[2]CHI TIẾT'!D272+'[2]CHI TIẾT'!D385</f>
        <v>4.3294000000000006</v>
      </c>
      <c r="G23" s="360">
        <f t="shared" si="0"/>
        <v>0.5985817632803796</v>
      </c>
      <c r="H23" s="361"/>
      <c r="I23" s="387"/>
      <c r="J23" s="338"/>
      <c r="K23" s="338"/>
      <c r="L23" s="338"/>
      <c r="M23" s="338"/>
      <c r="N23" s="338"/>
      <c r="O23" s="339" t="s">
        <v>705</v>
      </c>
      <c r="P23" s="339"/>
      <c r="Q23" s="340"/>
      <c r="R23" s="340">
        <v>29222.59</v>
      </c>
      <c r="S23" s="340">
        <f>+R23/2</f>
        <v>14611.295</v>
      </c>
      <c r="T23" s="340"/>
      <c r="U23" s="340"/>
      <c r="V23" s="340"/>
      <c r="W23" s="340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338"/>
    </row>
    <row r="24" spans="1:41" s="341" customFormat="1" ht="15.75" x14ac:dyDescent="0.25">
      <c r="A24" s="358">
        <v>6</v>
      </c>
      <c r="B24" s="359" t="s">
        <v>99</v>
      </c>
      <c r="C24" s="358" t="s">
        <v>115</v>
      </c>
      <c r="D24" s="360">
        <v>216784.87</v>
      </c>
      <c r="E24" s="360">
        <f t="shared" si="1"/>
        <v>21.678487000000001</v>
      </c>
      <c r="F24" s="360">
        <f>+'[2]CHI TIẾT'!D60+'[2]CHI TIẾT'!D158+'[2]CHI TIẾT'!D275+'[2]CHI TIẾT'!D389</f>
        <v>21.691200000000002</v>
      </c>
      <c r="G24" s="360">
        <f t="shared" si="0"/>
        <v>2.9990198973685436</v>
      </c>
      <c r="H24" s="361"/>
      <c r="I24" s="387"/>
      <c r="J24" s="338"/>
      <c r="K24" s="338"/>
      <c r="L24" s="338"/>
      <c r="M24" s="338"/>
      <c r="N24" s="338"/>
      <c r="O24" s="339"/>
      <c r="P24" s="339"/>
      <c r="Q24" s="340"/>
      <c r="R24" s="340"/>
      <c r="S24" s="340"/>
      <c r="T24" s="340"/>
      <c r="U24" s="340"/>
      <c r="V24" s="340"/>
      <c r="W24" s="340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</row>
    <row r="25" spans="1:41" s="341" customFormat="1" ht="15.75" x14ac:dyDescent="0.25">
      <c r="A25" s="358">
        <v>7</v>
      </c>
      <c r="B25" s="359" t="s">
        <v>100</v>
      </c>
      <c r="C25" s="358" t="s">
        <v>8</v>
      </c>
      <c r="D25" s="360">
        <v>194352.99</v>
      </c>
      <c r="E25" s="360">
        <f t="shared" si="1"/>
        <v>19.435299000000001</v>
      </c>
      <c r="F25" s="360">
        <f>+'[2]CHI TIẾT'!D61</f>
        <v>19.440000000000001</v>
      </c>
      <c r="G25" s="360">
        <f t="shared" si="0"/>
        <v>2.6877695473207788</v>
      </c>
      <c r="H25" s="361"/>
      <c r="I25" s="387"/>
      <c r="J25" s="338"/>
      <c r="K25" s="338"/>
      <c r="L25" s="338"/>
      <c r="M25" s="338"/>
      <c r="N25" s="338"/>
      <c r="O25" s="339" t="s">
        <v>828</v>
      </c>
      <c r="P25" s="339"/>
      <c r="Q25" s="340"/>
      <c r="R25" s="340"/>
      <c r="S25" s="340"/>
      <c r="T25" s="340"/>
      <c r="U25" s="340"/>
      <c r="V25" s="340"/>
      <c r="W25" s="340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</row>
    <row r="26" spans="1:41" s="341" customFormat="1" ht="15.75" x14ac:dyDescent="0.25">
      <c r="A26" s="358">
        <v>8</v>
      </c>
      <c r="B26" s="359" t="s">
        <v>101</v>
      </c>
      <c r="C26" s="358" t="s">
        <v>4</v>
      </c>
      <c r="D26" s="360">
        <v>9384.3700000000008</v>
      </c>
      <c r="E26" s="360">
        <f t="shared" si="1"/>
        <v>0.93843700000000008</v>
      </c>
      <c r="F26" s="360">
        <f>+'[2]CHI TIẾT'!D282</f>
        <v>0.94</v>
      </c>
      <c r="G26" s="360">
        <f t="shared" si="0"/>
        <v>0.12996416535398825</v>
      </c>
      <c r="H26" s="361"/>
      <c r="I26" s="387"/>
      <c r="J26" s="338"/>
      <c r="K26" s="338"/>
      <c r="L26" s="338"/>
      <c r="M26" s="338"/>
      <c r="N26" s="338"/>
      <c r="O26" s="389">
        <v>78.510000000000005</v>
      </c>
      <c r="P26" s="339">
        <v>14134</v>
      </c>
      <c r="Q26" s="339">
        <v>2019</v>
      </c>
      <c r="R26" s="340"/>
      <c r="S26" s="340"/>
      <c r="T26" s="340"/>
      <c r="U26" s="340"/>
      <c r="V26" s="340"/>
      <c r="W26" s="340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  <c r="AL26" s="338"/>
      <c r="AM26" s="338"/>
      <c r="AN26" s="338"/>
      <c r="AO26" s="338"/>
    </row>
    <row r="27" spans="1:41" s="341" customFormat="1" ht="15.75" x14ac:dyDescent="0.25">
      <c r="A27" s="358">
        <v>9</v>
      </c>
      <c r="B27" s="359" t="s">
        <v>102</v>
      </c>
      <c r="C27" s="358" t="s">
        <v>116</v>
      </c>
      <c r="D27" s="360">
        <v>51436.42</v>
      </c>
      <c r="E27" s="360">
        <f t="shared" si="1"/>
        <v>5.1436419999999998</v>
      </c>
      <c r="F27" s="360">
        <f>+'[2]CHI TIẾT'!D283</f>
        <v>5.15</v>
      </c>
      <c r="G27" s="360">
        <f t="shared" si="0"/>
        <v>0.71203771443940389</v>
      </c>
      <c r="H27" s="361"/>
      <c r="I27" s="387"/>
      <c r="J27" s="338"/>
      <c r="K27" s="338"/>
      <c r="L27" s="338"/>
      <c r="M27" s="338"/>
      <c r="N27" s="338"/>
      <c r="O27" s="340">
        <v>14.52</v>
      </c>
      <c r="P27" s="339">
        <f>+O27*P26/O26</f>
        <v>2614.0068781046998</v>
      </c>
      <c r="Q27" s="340"/>
      <c r="R27" s="340"/>
      <c r="S27" s="339">
        <f>+P27+P31+P34+P37</f>
        <v>5575.2245802575653</v>
      </c>
      <c r="T27" s="340"/>
      <c r="U27" s="340"/>
      <c r="V27" s="340"/>
      <c r="W27" s="340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</row>
    <row r="28" spans="1:41" s="341" customFormat="1" ht="15.75" x14ac:dyDescent="0.25">
      <c r="A28" s="358">
        <v>10</v>
      </c>
      <c r="B28" s="359" t="s">
        <v>103</v>
      </c>
      <c r="C28" s="358" t="s">
        <v>80</v>
      </c>
      <c r="D28" s="360">
        <v>12814.34</v>
      </c>
      <c r="E28" s="360">
        <f t="shared" si="1"/>
        <v>1.281434</v>
      </c>
      <c r="F28" s="360">
        <f>+'[2]CHI TIẾT'!D164</f>
        <v>1.28</v>
      </c>
      <c r="G28" s="360">
        <f t="shared" si="0"/>
        <v>0.17697248048202657</v>
      </c>
      <c r="H28" s="361"/>
      <c r="I28" s="387"/>
      <c r="J28" s="338"/>
      <c r="K28" s="338"/>
      <c r="L28" s="338"/>
      <c r="M28" s="338"/>
      <c r="N28" s="338"/>
      <c r="O28" s="339" t="s">
        <v>829</v>
      </c>
      <c r="P28" s="339"/>
      <c r="Q28" s="340"/>
      <c r="R28" s="338"/>
      <c r="S28" s="338"/>
      <c r="T28" s="338"/>
      <c r="U28" s="368">
        <v>423067.71</v>
      </c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</row>
    <row r="29" spans="1:41" s="341" customFormat="1" ht="15.75" x14ac:dyDescent="0.25">
      <c r="A29" s="358">
        <v>11</v>
      </c>
      <c r="B29" s="359" t="s">
        <v>104</v>
      </c>
      <c r="C29" s="358" t="s">
        <v>117</v>
      </c>
      <c r="D29" s="388">
        <v>41008.49</v>
      </c>
      <c r="E29" s="388">
        <f t="shared" si="1"/>
        <v>4.1008490000000002</v>
      </c>
      <c r="F29" s="388">
        <f>+'[2]CHI TIẾT'!D165+'[2]CHI TIẾT'!D287+'[2]CHI TIẾT'!D401</f>
        <v>4.1017000000000001</v>
      </c>
      <c r="G29" s="360">
        <f t="shared" si="0"/>
        <v>0.56710001811963151</v>
      </c>
      <c r="H29" s="361"/>
      <c r="I29" s="387"/>
      <c r="J29" s="338"/>
      <c r="K29" s="340"/>
      <c r="L29" s="338"/>
      <c r="M29" s="338"/>
      <c r="N29" s="338"/>
      <c r="O29" s="340">
        <v>77.06</v>
      </c>
      <c r="P29" s="339">
        <v>16380</v>
      </c>
      <c r="Q29" s="339">
        <v>2019</v>
      </c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</row>
    <row r="30" spans="1:41" s="341" customFormat="1" ht="15.75" x14ac:dyDescent="0.25">
      <c r="A30" s="358">
        <v>12</v>
      </c>
      <c r="B30" s="359" t="s">
        <v>837</v>
      </c>
      <c r="C30" s="358" t="s">
        <v>848</v>
      </c>
      <c r="D30" s="360">
        <v>76530.95</v>
      </c>
      <c r="E30" s="360">
        <f t="shared" si="1"/>
        <v>7.6530949999999995</v>
      </c>
      <c r="F30" s="360">
        <f>+'[2]CHI TIẾT'!D291</f>
        <v>7.65</v>
      </c>
      <c r="G30" s="360">
        <f t="shared" si="0"/>
        <v>1.0576870903808619</v>
      </c>
      <c r="H30" s="361"/>
      <c r="I30" s="387"/>
      <c r="J30" s="338"/>
      <c r="K30" s="340"/>
      <c r="L30" s="338"/>
      <c r="M30" s="338"/>
      <c r="N30" s="338"/>
      <c r="O30" s="340"/>
      <c r="P30" s="339"/>
      <c r="Q30" s="339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</row>
    <row r="31" spans="1:41" s="341" customFormat="1" ht="15.75" x14ac:dyDescent="0.25">
      <c r="A31" s="358">
        <v>13</v>
      </c>
      <c r="B31" s="359" t="s">
        <v>105</v>
      </c>
      <c r="C31" s="358" t="s">
        <v>85</v>
      </c>
      <c r="D31" s="388">
        <v>68332.27</v>
      </c>
      <c r="E31" s="388">
        <f t="shared" si="1"/>
        <v>6.8332270000000008</v>
      </c>
      <c r="F31" s="360">
        <f>+'[2]CHI TIẾT'!D62+'[2]CHI TIẾT'!D295+'[2]CHI TIẾT'!D402</f>
        <v>6.8500000000000005</v>
      </c>
      <c r="G31" s="360">
        <f t="shared" si="0"/>
        <v>0.94707929007959535</v>
      </c>
      <c r="H31" s="361"/>
      <c r="I31" s="387"/>
      <c r="J31" s="338"/>
      <c r="K31" s="338"/>
      <c r="L31" s="338"/>
      <c r="M31" s="338"/>
      <c r="N31" s="338"/>
      <c r="O31" s="340">
        <v>13.55</v>
      </c>
      <c r="P31" s="339">
        <f>+O31*P29/O29</f>
        <v>2880.2102257980791</v>
      </c>
      <c r="Q31" s="340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</row>
    <row r="32" spans="1:41" s="341" customFormat="1" ht="15.75" x14ac:dyDescent="0.25">
      <c r="A32" s="358">
        <v>14</v>
      </c>
      <c r="B32" s="359" t="s">
        <v>709</v>
      </c>
      <c r="C32" s="358"/>
      <c r="D32" s="360">
        <f>+D33+D34+D35</f>
        <v>729871.83000000007</v>
      </c>
      <c r="E32" s="360">
        <f t="shared" si="1"/>
        <v>72.987183000000002</v>
      </c>
      <c r="F32" s="360">
        <f>+SUM(F33:F35)</f>
        <v>72.969500000000011</v>
      </c>
      <c r="G32" s="360">
        <f t="shared" si="0"/>
        <v>10.088744855104094</v>
      </c>
      <c r="H32" s="361"/>
      <c r="I32" s="387"/>
      <c r="J32" s="338"/>
      <c r="K32" s="338"/>
      <c r="L32" s="338"/>
      <c r="M32" s="338"/>
      <c r="N32" s="338"/>
      <c r="O32" s="339" t="s">
        <v>830</v>
      </c>
      <c r="P32" s="339"/>
      <c r="Q32" s="340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38"/>
      <c r="AL32" s="338"/>
      <c r="AM32" s="338"/>
      <c r="AN32" s="338"/>
      <c r="AO32" s="338"/>
    </row>
    <row r="33" spans="1:41" s="341" customFormat="1" ht="15.75" x14ac:dyDescent="0.25">
      <c r="A33" s="390" t="s">
        <v>849</v>
      </c>
      <c r="B33" s="370" t="s">
        <v>94</v>
      </c>
      <c r="C33" s="369" t="s">
        <v>114</v>
      </c>
      <c r="D33" s="371">
        <v>219216.63</v>
      </c>
      <c r="E33" s="371">
        <f t="shared" si="1"/>
        <v>21.921662999999999</v>
      </c>
      <c r="F33" s="371">
        <f>+'[2]CHI TIẾT'!D302</f>
        <v>21.92</v>
      </c>
      <c r="G33" s="371">
        <f t="shared" si="0"/>
        <v>3.0306537282547055</v>
      </c>
      <c r="H33" s="367"/>
      <c r="I33" s="387"/>
      <c r="J33" s="338"/>
      <c r="K33" s="338"/>
      <c r="L33" s="338"/>
      <c r="M33" s="338"/>
      <c r="N33" s="338"/>
      <c r="O33" s="339">
        <v>1349</v>
      </c>
      <c r="P33" s="339">
        <v>9104</v>
      </c>
      <c r="Q33" s="339">
        <v>2019</v>
      </c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</row>
    <row r="34" spans="1:41" s="341" customFormat="1" ht="15.75" x14ac:dyDescent="0.25">
      <c r="A34" s="369" t="s">
        <v>850</v>
      </c>
      <c r="B34" s="370" t="s">
        <v>95</v>
      </c>
      <c r="C34" s="369" t="s">
        <v>84</v>
      </c>
      <c r="D34" s="371">
        <v>125062.33</v>
      </c>
      <c r="E34" s="371">
        <f t="shared" si="1"/>
        <v>12.506233</v>
      </c>
      <c r="F34" s="371">
        <f>+'[2]CHI TIẾT'!D67+'[2]CHI TIẾT'!D169+'[2]CHI TIẾT'!D305</f>
        <v>12.499499999999999</v>
      </c>
      <c r="G34" s="371">
        <f t="shared" si="0"/>
        <v>1.7281777498321025</v>
      </c>
      <c r="H34" s="367"/>
      <c r="I34" s="387"/>
      <c r="J34" s="338"/>
      <c r="K34" s="338"/>
      <c r="L34" s="338"/>
      <c r="M34" s="338"/>
      <c r="N34" s="338"/>
      <c r="O34" s="338">
        <v>9.61</v>
      </c>
      <c r="P34" s="386">
        <f>+O34*P33/O33</f>
        <v>64.855033358042988</v>
      </c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</row>
    <row r="35" spans="1:41" s="341" customFormat="1" ht="15.75" x14ac:dyDescent="0.25">
      <c r="A35" s="369" t="s">
        <v>851</v>
      </c>
      <c r="B35" s="370" t="s">
        <v>53</v>
      </c>
      <c r="C35" s="369" t="s">
        <v>83</v>
      </c>
      <c r="D35" s="372">
        <v>385592.87</v>
      </c>
      <c r="E35" s="372">
        <f t="shared" si="1"/>
        <v>38.559286999999998</v>
      </c>
      <c r="F35" s="371">
        <f>+'[2]CHI TIẾT'!D73+'[2]CHI TIẾT'!D173+'[2]CHI TIẾT'!D311</f>
        <v>38.550000000000004</v>
      </c>
      <c r="G35" s="371">
        <f t="shared" si="0"/>
        <v>5.3299133770172853</v>
      </c>
      <c r="H35" s="367"/>
      <c r="I35" s="387"/>
      <c r="J35" s="338"/>
      <c r="K35" s="338"/>
      <c r="L35" s="338"/>
      <c r="M35" s="338"/>
      <c r="N35" s="338"/>
      <c r="O35" s="338" t="s">
        <v>831</v>
      </c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</row>
    <row r="36" spans="1:41" s="357" customFormat="1" ht="15.75" x14ac:dyDescent="0.25">
      <c r="A36" s="246" t="s">
        <v>608</v>
      </c>
      <c r="B36" s="350" t="s">
        <v>624</v>
      </c>
      <c r="C36" s="246"/>
      <c r="D36" s="351">
        <f>+D37</f>
        <v>80024.91</v>
      </c>
      <c r="E36" s="351">
        <f t="shared" si="1"/>
        <v>8.0024910000000009</v>
      </c>
      <c r="F36" s="351">
        <f>+F37</f>
        <v>8</v>
      </c>
      <c r="G36" s="351">
        <f t="shared" si="0"/>
        <v>1.106078003012666</v>
      </c>
      <c r="H36" s="352"/>
      <c r="I36" s="353"/>
      <c r="J36" s="354"/>
      <c r="K36" s="354"/>
      <c r="L36" s="354"/>
      <c r="M36" s="354"/>
      <c r="N36" s="354"/>
      <c r="O36" s="355">
        <v>921</v>
      </c>
      <c r="P36" s="355">
        <v>3220</v>
      </c>
      <c r="Q36" s="355">
        <v>2021</v>
      </c>
      <c r="R36" s="354"/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4"/>
      <c r="AE36" s="354"/>
      <c r="AF36" s="354"/>
      <c r="AG36" s="354"/>
      <c r="AH36" s="354"/>
      <c r="AI36" s="354"/>
      <c r="AJ36" s="354"/>
      <c r="AK36" s="354"/>
      <c r="AL36" s="354"/>
      <c r="AM36" s="354"/>
      <c r="AN36" s="354"/>
      <c r="AO36" s="354"/>
    </row>
    <row r="37" spans="1:41" s="341" customFormat="1" ht="15.75" x14ac:dyDescent="0.25">
      <c r="A37" s="358">
        <v>1</v>
      </c>
      <c r="B37" s="359" t="s">
        <v>120</v>
      </c>
      <c r="C37" s="358" t="s">
        <v>3</v>
      </c>
      <c r="D37" s="360">
        <f>+D38+D39</f>
        <v>80024.91</v>
      </c>
      <c r="E37" s="360">
        <f t="shared" si="1"/>
        <v>8.0024910000000009</v>
      </c>
      <c r="F37" s="360">
        <f>+'[2]CHI TIẾT'!D79+'[2]CHI TIẾT'!D180+'[2]CHI TIẾT'!D323+'[2]CHI TIẾT'!D406</f>
        <v>8</v>
      </c>
      <c r="G37" s="360">
        <f t="shared" si="0"/>
        <v>1.106078003012666</v>
      </c>
      <c r="H37" s="361"/>
      <c r="I37" s="387"/>
      <c r="J37" s="338"/>
      <c r="K37" s="338"/>
      <c r="L37" s="338"/>
      <c r="M37" s="338"/>
      <c r="N37" s="338"/>
      <c r="O37" s="340">
        <v>4.62</v>
      </c>
      <c r="P37" s="339">
        <f>+O37*P36/O36</f>
        <v>16.152442996742671</v>
      </c>
      <c r="Q37" s="340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</row>
    <row r="38" spans="1:41" s="341" customFormat="1" ht="15.75" x14ac:dyDescent="0.25">
      <c r="A38" s="369" t="s">
        <v>31</v>
      </c>
      <c r="B38" s="370" t="s">
        <v>106</v>
      </c>
      <c r="C38" s="369"/>
      <c r="D38" s="371">
        <v>25806.880000000001</v>
      </c>
      <c r="E38" s="360">
        <f t="shared" si="1"/>
        <v>2.5806880000000003</v>
      </c>
      <c r="F38" s="371">
        <f>+'[2]CHI TIẾT'!D181+'[2]CHI TIẾT'!D183+'[2]CHI TIẾT'!D327+'[2]CHI TIẾT'!D328+'[2]CHI TIẾT'!D406</f>
        <v>2.58</v>
      </c>
      <c r="G38" s="371">
        <f t="shared" si="0"/>
        <v>0.35671015597158484</v>
      </c>
      <c r="H38" s="367"/>
      <c r="I38" s="387"/>
      <c r="J38" s="338"/>
      <c r="K38" s="338"/>
      <c r="L38" s="340">
        <f>+D40+D36+D18+D4</f>
        <v>7232762.9500000002</v>
      </c>
      <c r="M38" s="338"/>
      <c r="N38" s="338"/>
      <c r="O38" s="339"/>
      <c r="P38" s="339"/>
      <c r="Q38" s="340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</row>
    <row r="39" spans="1:41" s="341" customFormat="1" ht="15.75" x14ac:dyDescent="0.25">
      <c r="A39" s="369" t="s">
        <v>24</v>
      </c>
      <c r="B39" s="370" t="s">
        <v>107</v>
      </c>
      <c r="C39" s="369"/>
      <c r="D39" s="371">
        <v>54218.03</v>
      </c>
      <c r="E39" s="360">
        <f t="shared" si="1"/>
        <v>5.4218029999999997</v>
      </c>
      <c r="F39" s="371">
        <f>+'[2]CHI TIẾT'!D80+'[2]CHI TIẾT'!D81+'[2]CHI TIẾT'!D182+'[2]CHI TIẾT'!D184+'[2]CHI TIẾT'!D324+'[2]CHI TIẾT'!D325+'[2]CHI TIẾT'!D326</f>
        <v>5.42</v>
      </c>
      <c r="G39" s="371">
        <f t="shared" si="0"/>
        <v>0.74936784704108128</v>
      </c>
      <c r="H39" s="367"/>
      <c r="I39" s="387"/>
      <c r="J39" s="338"/>
      <c r="K39" s="338"/>
      <c r="L39" s="338"/>
      <c r="M39" s="338"/>
      <c r="N39" s="338"/>
      <c r="O39" s="339"/>
      <c r="P39" s="339"/>
      <c r="Q39" s="340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  <c r="AH39" s="338"/>
      <c r="AI39" s="338"/>
      <c r="AJ39" s="338"/>
      <c r="AK39" s="338"/>
      <c r="AL39" s="338"/>
      <c r="AM39" s="338"/>
      <c r="AN39" s="338"/>
      <c r="AO39" s="338"/>
    </row>
    <row r="40" spans="1:41" s="357" customFormat="1" ht="47.25" x14ac:dyDescent="0.25">
      <c r="A40" s="246" t="s">
        <v>623</v>
      </c>
      <c r="B40" s="350" t="s">
        <v>605</v>
      </c>
      <c r="C40" s="246"/>
      <c r="D40" s="351">
        <f>+D3-D4-D18-D36</f>
        <v>1133440.4600000002</v>
      </c>
      <c r="E40" s="351">
        <f t="shared" si="1"/>
        <v>113.34404600000002</v>
      </c>
      <c r="F40" s="351">
        <f>+F3-F4-F18-F36</f>
        <v>113.34189500000008</v>
      </c>
      <c r="G40" s="351">
        <v>15.66</v>
      </c>
      <c r="H40" s="352"/>
      <c r="I40" s="391" t="s">
        <v>1205</v>
      </c>
      <c r="J40" s="354"/>
      <c r="K40" s="354"/>
      <c r="L40" s="354"/>
      <c r="M40" s="354"/>
      <c r="N40" s="354"/>
      <c r="O40" s="355"/>
      <c r="P40" s="355"/>
      <c r="Q40" s="356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4"/>
      <c r="AC40" s="354"/>
      <c r="AD40" s="354"/>
      <c r="AE40" s="354"/>
      <c r="AF40" s="354"/>
      <c r="AG40" s="354"/>
      <c r="AH40" s="354"/>
      <c r="AI40" s="354"/>
      <c r="AJ40" s="354"/>
      <c r="AK40" s="354"/>
      <c r="AL40" s="354"/>
      <c r="AM40" s="354"/>
      <c r="AN40" s="354"/>
      <c r="AO40" s="354"/>
    </row>
    <row r="41" spans="1:41" x14ac:dyDescent="0.25">
      <c r="A41" s="392"/>
      <c r="B41" s="393"/>
      <c r="C41" s="392"/>
      <c r="D41" s="394"/>
      <c r="E41" s="394"/>
      <c r="F41" s="394"/>
      <c r="G41" s="395"/>
      <c r="H41" s="396"/>
      <c r="J41" s="398"/>
      <c r="K41" s="398"/>
      <c r="L41" s="398"/>
      <c r="M41" s="398"/>
      <c r="N41" s="398"/>
      <c r="AJ41" s="398"/>
      <c r="AK41" s="398"/>
      <c r="AL41" s="398"/>
      <c r="AM41" s="398"/>
      <c r="AN41" s="398"/>
      <c r="AO41" s="398"/>
    </row>
    <row r="42" spans="1:41" x14ac:dyDescent="0.25">
      <c r="A42" s="392"/>
      <c r="B42" s="393"/>
      <c r="C42" s="392"/>
      <c r="D42" s="394"/>
      <c r="E42" s="394"/>
      <c r="F42" s="394"/>
      <c r="G42" s="395"/>
      <c r="H42" s="396"/>
      <c r="J42" s="398"/>
      <c r="K42" s="398"/>
      <c r="L42" s="398"/>
      <c r="M42" s="398"/>
      <c r="N42" s="398"/>
      <c r="AJ42" s="398"/>
      <c r="AK42" s="398"/>
      <c r="AL42" s="398"/>
      <c r="AM42" s="398"/>
      <c r="AN42" s="398"/>
      <c r="AO42" s="398"/>
    </row>
    <row r="43" spans="1:41" x14ac:dyDescent="0.25">
      <c r="A43" s="392"/>
      <c r="B43" s="393"/>
      <c r="C43" s="402"/>
      <c r="D43" s="394"/>
      <c r="E43" s="394"/>
      <c r="F43" s="394"/>
      <c r="G43" s="395"/>
      <c r="H43" s="396"/>
      <c r="J43" s="398"/>
      <c r="K43" s="398"/>
      <c r="L43" s="398"/>
      <c r="M43" s="398"/>
      <c r="N43" s="398"/>
      <c r="AJ43" s="398"/>
      <c r="AK43" s="398"/>
      <c r="AL43" s="398"/>
      <c r="AM43" s="398"/>
      <c r="AN43" s="398"/>
      <c r="AO43" s="398"/>
    </row>
    <row r="44" spans="1:41" x14ac:dyDescent="0.25">
      <c r="A44" s="392"/>
      <c r="B44" s="393"/>
      <c r="C44" s="392"/>
      <c r="D44" s="394"/>
      <c r="E44" s="394"/>
      <c r="F44" s="394"/>
      <c r="G44" s="395"/>
      <c r="H44" s="396"/>
      <c r="J44" s="398"/>
      <c r="K44" s="398"/>
      <c r="L44" s="398"/>
      <c r="M44" s="398"/>
      <c r="N44" s="398"/>
      <c r="AJ44" s="398"/>
      <c r="AK44" s="398"/>
      <c r="AL44" s="398"/>
      <c r="AM44" s="398"/>
      <c r="AN44" s="398"/>
      <c r="AO44" s="398"/>
    </row>
    <row r="45" spans="1:41" x14ac:dyDescent="0.25">
      <c r="A45" s="392"/>
      <c r="B45" s="393"/>
      <c r="C45" s="392"/>
      <c r="D45" s="394"/>
      <c r="E45" s="394"/>
      <c r="F45" s="394"/>
      <c r="G45" s="395"/>
      <c r="H45" s="396"/>
      <c r="J45" s="398"/>
      <c r="K45" s="398"/>
      <c r="L45" s="398"/>
      <c r="M45" s="398"/>
      <c r="N45" s="398"/>
      <c r="AJ45" s="398"/>
      <c r="AK45" s="398"/>
      <c r="AL45" s="398"/>
      <c r="AM45" s="398"/>
      <c r="AN45" s="398"/>
      <c r="AO45" s="398"/>
    </row>
    <row r="46" spans="1:41" x14ac:dyDescent="0.25">
      <c r="A46" s="392"/>
      <c r="B46" s="393"/>
      <c r="C46" s="392"/>
      <c r="D46" s="394"/>
      <c r="E46" s="394"/>
      <c r="F46" s="394"/>
      <c r="G46" s="395"/>
      <c r="H46" s="396"/>
      <c r="J46" s="398"/>
      <c r="K46" s="398"/>
      <c r="L46" s="398"/>
      <c r="M46" s="398"/>
      <c r="N46" s="398"/>
      <c r="AJ46" s="398"/>
      <c r="AK46" s="398"/>
      <c r="AL46" s="398"/>
      <c r="AM46" s="398"/>
      <c r="AN46" s="398"/>
      <c r="AO46" s="398"/>
    </row>
    <row r="47" spans="1:41" x14ac:dyDescent="0.25">
      <c r="A47" s="392"/>
      <c r="B47" s="393"/>
      <c r="C47" s="402"/>
      <c r="D47" s="394"/>
      <c r="E47" s="394"/>
      <c r="F47" s="394"/>
      <c r="G47" s="395"/>
      <c r="H47" s="396"/>
      <c r="J47" s="398"/>
      <c r="K47" s="398"/>
      <c r="L47" s="398"/>
      <c r="M47" s="398"/>
      <c r="N47" s="398"/>
      <c r="AJ47" s="398"/>
      <c r="AK47" s="398"/>
      <c r="AL47" s="398"/>
      <c r="AM47" s="398"/>
      <c r="AN47" s="398"/>
      <c r="AO47" s="398"/>
    </row>
    <row r="48" spans="1:41" x14ac:dyDescent="0.25">
      <c r="A48" s="392"/>
      <c r="B48" s="393"/>
      <c r="C48" s="392"/>
      <c r="D48" s="394"/>
      <c r="E48" s="394"/>
      <c r="F48" s="394"/>
      <c r="G48" s="395"/>
      <c r="H48" s="396"/>
      <c r="J48" s="398"/>
      <c r="K48" s="398"/>
      <c r="L48" s="398"/>
      <c r="M48" s="398"/>
      <c r="N48" s="398"/>
      <c r="AJ48" s="398"/>
      <c r="AK48" s="398"/>
      <c r="AL48" s="398"/>
      <c r="AM48" s="398"/>
      <c r="AN48" s="398"/>
      <c r="AO48" s="398"/>
    </row>
    <row r="49" spans="1:41" x14ac:dyDescent="0.25">
      <c r="A49" s="392"/>
      <c r="B49" s="393"/>
      <c r="C49" s="392"/>
      <c r="D49" s="394"/>
      <c r="E49" s="394"/>
      <c r="F49" s="394"/>
      <c r="G49" s="395"/>
      <c r="H49" s="396"/>
      <c r="J49" s="398"/>
      <c r="K49" s="398"/>
      <c r="L49" s="398"/>
      <c r="M49" s="398"/>
      <c r="N49" s="398"/>
      <c r="AJ49" s="398"/>
      <c r="AK49" s="398"/>
      <c r="AL49" s="398"/>
      <c r="AM49" s="398"/>
      <c r="AN49" s="398"/>
      <c r="AO49" s="398"/>
    </row>
    <row r="50" spans="1:41" x14ac:dyDescent="0.25">
      <c r="A50" s="392"/>
      <c r="B50" s="393"/>
      <c r="C50" s="392"/>
      <c r="D50" s="394"/>
      <c r="E50" s="394"/>
      <c r="F50" s="394"/>
      <c r="G50" s="395"/>
      <c r="H50" s="396"/>
      <c r="J50" s="398"/>
      <c r="K50" s="398"/>
      <c r="L50" s="398"/>
      <c r="M50" s="398"/>
      <c r="N50" s="398"/>
      <c r="AJ50" s="398"/>
      <c r="AK50" s="398"/>
      <c r="AL50" s="398"/>
      <c r="AM50" s="398"/>
      <c r="AN50" s="398"/>
      <c r="AO50" s="398"/>
    </row>
    <row r="51" spans="1:41" x14ac:dyDescent="0.25">
      <c r="A51" s="392"/>
      <c r="B51" s="393"/>
      <c r="C51" s="392"/>
      <c r="D51" s="394"/>
      <c r="E51" s="394"/>
      <c r="F51" s="394"/>
      <c r="G51" s="395"/>
      <c r="H51" s="396"/>
      <c r="J51" s="398"/>
      <c r="K51" s="398"/>
      <c r="L51" s="398"/>
      <c r="M51" s="398"/>
      <c r="N51" s="398"/>
      <c r="AJ51" s="398"/>
      <c r="AK51" s="398"/>
      <c r="AL51" s="398"/>
      <c r="AM51" s="398"/>
      <c r="AN51" s="398"/>
      <c r="AO51" s="398"/>
    </row>
    <row r="52" spans="1:41" x14ac:dyDescent="0.25">
      <c r="A52" s="392"/>
      <c r="B52" s="393"/>
      <c r="C52" s="392"/>
      <c r="D52" s="394"/>
      <c r="E52" s="394"/>
      <c r="F52" s="394"/>
      <c r="G52" s="395"/>
      <c r="H52" s="396"/>
      <c r="J52" s="398"/>
      <c r="K52" s="398"/>
      <c r="L52" s="398"/>
      <c r="M52" s="398"/>
      <c r="N52" s="398"/>
      <c r="AJ52" s="398"/>
      <c r="AK52" s="398"/>
      <c r="AL52" s="398"/>
      <c r="AM52" s="398"/>
      <c r="AN52" s="398"/>
      <c r="AO52" s="398"/>
    </row>
    <row r="53" spans="1:41" x14ac:dyDescent="0.25">
      <c r="A53" s="392"/>
      <c r="B53" s="393"/>
      <c r="C53" s="392"/>
      <c r="D53" s="394"/>
      <c r="E53" s="394"/>
      <c r="F53" s="394"/>
      <c r="G53" s="395"/>
      <c r="H53" s="396"/>
      <c r="J53" s="398"/>
      <c r="K53" s="398"/>
      <c r="L53" s="398"/>
      <c r="M53" s="398"/>
      <c r="N53" s="398"/>
      <c r="AJ53" s="398"/>
      <c r="AK53" s="398"/>
      <c r="AL53" s="398"/>
      <c r="AM53" s="398"/>
      <c r="AN53" s="398"/>
      <c r="AO53" s="398"/>
    </row>
    <row r="54" spans="1:41" x14ac:dyDescent="0.25">
      <c r="A54" s="392"/>
      <c r="B54" s="393"/>
      <c r="C54" s="392"/>
      <c r="D54" s="394"/>
      <c r="E54" s="394"/>
      <c r="F54" s="394"/>
      <c r="G54" s="395"/>
      <c r="H54" s="396"/>
      <c r="J54" s="398"/>
      <c r="K54" s="398"/>
      <c r="L54" s="398"/>
      <c r="M54" s="398"/>
      <c r="N54" s="398"/>
      <c r="AJ54" s="398"/>
      <c r="AK54" s="398"/>
      <c r="AL54" s="398"/>
      <c r="AM54" s="398"/>
      <c r="AN54" s="398"/>
      <c r="AO54" s="398"/>
    </row>
    <row r="55" spans="1:41" x14ac:dyDescent="0.25">
      <c r="A55" s="392"/>
      <c r="B55" s="393"/>
      <c r="C55" s="392"/>
      <c r="D55" s="394"/>
      <c r="E55" s="394"/>
      <c r="F55" s="394"/>
      <c r="G55" s="395"/>
      <c r="H55" s="396"/>
      <c r="J55" s="398"/>
      <c r="K55" s="398"/>
      <c r="L55" s="398"/>
      <c r="M55" s="398"/>
      <c r="N55" s="398"/>
      <c r="AJ55" s="398"/>
      <c r="AK55" s="398"/>
      <c r="AL55" s="398"/>
      <c r="AM55" s="398"/>
      <c r="AN55" s="398"/>
      <c r="AO55" s="398"/>
    </row>
    <row r="56" spans="1:41" x14ac:dyDescent="0.25">
      <c r="A56" s="392"/>
      <c r="B56" s="393"/>
      <c r="C56" s="392"/>
      <c r="D56" s="394"/>
      <c r="E56" s="394"/>
      <c r="F56" s="394"/>
      <c r="G56" s="395"/>
      <c r="H56" s="396"/>
      <c r="J56" s="398"/>
      <c r="K56" s="398"/>
      <c r="L56" s="398"/>
      <c r="M56" s="398"/>
      <c r="N56" s="398"/>
      <c r="AJ56" s="398"/>
      <c r="AK56" s="398"/>
      <c r="AL56" s="398"/>
      <c r="AM56" s="398"/>
      <c r="AN56" s="398"/>
      <c r="AO56" s="398"/>
    </row>
    <row r="57" spans="1:41" x14ac:dyDescent="0.25">
      <c r="A57" s="392"/>
      <c r="B57" s="393"/>
      <c r="C57" s="392"/>
      <c r="D57" s="394"/>
      <c r="E57" s="394"/>
      <c r="F57" s="394"/>
      <c r="G57" s="395"/>
      <c r="H57" s="396"/>
      <c r="J57" s="398"/>
      <c r="K57" s="398"/>
      <c r="L57" s="398"/>
      <c r="M57" s="398"/>
      <c r="N57" s="398"/>
      <c r="AJ57" s="398"/>
      <c r="AK57" s="398"/>
      <c r="AL57" s="398"/>
      <c r="AM57" s="398"/>
      <c r="AN57" s="398"/>
      <c r="AO57" s="398"/>
    </row>
    <row r="58" spans="1:41" x14ac:dyDescent="0.25">
      <c r="A58" s="392"/>
      <c r="B58" s="393"/>
      <c r="C58" s="392"/>
      <c r="D58" s="394"/>
      <c r="E58" s="394"/>
      <c r="F58" s="394"/>
      <c r="G58" s="395"/>
      <c r="H58" s="396"/>
      <c r="J58" s="398"/>
      <c r="K58" s="398"/>
      <c r="L58" s="398"/>
      <c r="M58" s="398"/>
      <c r="N58" s="398"/>
      <c r="AJ58" s="398"/>
      <c r="AK58" s="398"/>
      <c r="AL58" s="398"/>
      <c r="AM58" s="398"/>
      <c r="AN58" s="398"/>
      <c r="AO58" s="398"/>
    </row>
    <row r="59" spans="1:41" x14ac:dyDescent="0.25">
      <c r="A59" s="392"/>
      <c r="B59" s="393"/>
      <c r="C59" s="392"/>
      <c r="D59" s="394"/>
      <c r="E59" s="394"/>
      <c r="F59" s="394"/>
      <c r="G59" s="395"/>
      <c r="H59" s="396"/>
      <c r="J59" s="398"/>
      <c r="K59" s="398"/>
      <c r="L59" s="398"/>
      <c r="M59" s="398"/>
      <c r="N59" s="398"/>
      <c r="AJ59" s="398"/>
      <c r="AK59" s="398"/>
      <c r="AL59" s="398"/>
      <c r="AM59" s="398"/>
      <c r="AN59" s="398"/>
      <c r="AO59" s="398"/>
    </row>
    <row r="60" spans="1:41" x14ac:dyDescent="0.25">
      <c r="A60" s="392"/>
      <c r="B60" s="393"/>
      <c r="C60" s="392"/>
      <c r="D60" s="394"/>
      <c r="E60" s="394"/>
      <c r="F60" s="394"/>
      <c r="G60" s="395"/>
      <c r="H60" s="396"/>
      <c r="J60" s="398"/>
      <c r="K60" s="398"/>
      <c r="L60" s="398"/>
      <c r="M60" s="398"/>
      <c r="N60" s="398"/>
      <c r="AJ60" s="398"/>
      <c r="AK60" s="398"/>
      <c r="AL60" s="398"/>
      <c r="AM60" s="398"/>
      <c r="AN60" s="398"/>
      <c r="AO60" s="398"/>
    </row>
    <row r="61" spans="1:41" x14ac:dyDescent="0.25">
      <c r="A61" s="392"/>
      <c r="B61" s="393"/>
      <c r="C61" s="392"/>
      <c r="D61" s="394"/>
      <c r="E61" s="394"/>
      <c r="F61" s="394"/>
      <c r="G61" s="395"/>
      <c r="H61" s="396"/>
      <c r="J61" s="398"/>
      <c r="K61" s="398"/>
      <c r="L61" s="398"/>
      <c r="M61" s="398"/>
      <c r="N61" s="398"/>
      <c r="AJ61" s="398"/>
      <c r="AK61" s="398"/>
      <c r="AL61" s="398"/>
      <c r="AM61" s="398"/>
      <c r="AN61" s="398"/>
      <c r="AO61" s="398"/>
    </row>
    <row r="62" spans="1:41" x14ac:dyDescent="0.25">
      <c r="A62" s="392"/>
      <c r="B62" s="393"/>
      <c r="C62" s="392"/>
      <c r="D62" s="394"/>
      <c r="E62" s="394"/>
      <c r="F62" s="394"/>
      <c r="G62" s="395"/>
      <c r="H62" s="396"/>
      <c r="J62" s="398"/>
      <c r="K62" s="398"/>
      <c r="L62" s="398"/>
      <c r="M62" s="398"/>
      <c r="N62" s="398"/>
      <c r="AJ62" s="398"/>
      <c r="AK62" s="398"/>
      <c r="AL62" s="398"/>
      <c r="AM62" s="398"/>
      <c r="AN62" s="398"/>
      <c r="AO62" s="398"/>
    </row>
    <row r="63" spans="1:41" x14ac:dyDescent="0.25">
      <c r="A63" s="392"/>
      <c r="B63" s="393"/>
      <c r="C63" s="392"/>
      <c r="D63" s="394"/>
      <c r="E63" s="394"/>
      <c r="F63" s="394"/>
      <c r="G63" s="395"/>
      <c r="H63" s="396"/>
      <c r="J63" s="398"/>
      <c r="K63" s="398"/>
      <c r="L63" s="398"/>
      <c r="M63" s="398"/>
      <c r="N63" s="398"/>
      <c r="AJ63" s="398"/>
      <c r="AK63" s="398"/>
      <c r="AL63" s="398"/>
      <c r="AM63" s="398"/>
      <c r="AN63" s="398"/>
      <c r="AO63" s="398"/>
    </row>
    <row r="64" spans="1:41" x14ac:dyDescent="0.25">
      <c r="A64" s="392"/>
      <c r="B64" s="393"/>
      <c r="C64" s="392"/>
      <c r="D64" s="394"/>
      <c r="E64" s="394"/>
      <c r="F64" s="394"/>
      <c r="G64" s="395"/>
      <c r="H64" s="396"/>
      <c r="J64" s="398"/>
      <c r="K64" s="398"/>
      <c r="L64" s="398"/>
      <c r="M64" s="398"/>
      <c r="N64" s="398"/>
      <c r="AJ64" s="398"/>
      <c r="AK64" s="398"/>
      <c r="AL64" s="398"/>
      <c r="AM64" s="398"/>
      <c r="AN64" s="398"/>
      <c r="AO64" s="398"/>
    </row>
    <row r="65" spans="1:41" x14ac:dyDescent="0.25">
      <c r="A65" s="392"/>
      <c r="B65" s="393"/>
      <c r="C65" s="392"/>
      <c r="D65" s="394"/>
      <c r="E65" s="394"/>
      <c r="F65" s="394"/>
      <c r="G65" s="395"/>
      <c r="H65" s="396"/>
      <c r="J65" s="398"/>
      <c r="K65" s="398"/>
      <c r="L65" s="398"/>
      <c r="M65" s="398"/>
      <c r="N65" s="398"/>
      <c r="AJ65" s="398"/>
      <c r="AK65" s="398"/>
      <c r="AL65" s="398"/>
      <c r="AM65" s="398"/>
      <c r="AN65" s="398"/>
      <c r="AO65" s="398"/>
    </row>
    <row r="66" spans="1:41" x14ac:dyDescent="0.25">
      <c r="A66" s="392"/>
      <c r="B66" s="393"/>
      <c r="C66" s="392"/>
      <c r="D66" s="394"/>
      <c r="E66" s="394"/>
      <c r="F66" s="394"/>
      <c r="G66" s="395"/>
      <c r="H66" s="396"/>
      <c r="J66" s="398"/>
      <c r="K66" s="398"/>
      <c r="L66" s="398"/>
      <c r="M66" s="398"/>
      <c r="N66" s="398"/>
      <c r="AJ66" s="398"/>
      <c r="AK66" s="398"/>
      <c r="AL66" s="398"/>
      <c r="AM66" s="398"/>
      <c r="AN66" s="398"/>
      <c r="AO66" s="398"/>
    </row>
    <row r="67" spans="1:41" x14ac:dyDescent="0.25">
      <c r="A67" s="392"/>
      <c r="B67" s="393"/>
      <c r="C67" s="392"/>
      <c r="D67" s="394"/>
      <c r="E67" s="394"/>
      <c r="F67" s="394"/>
      <c r="G67" s="395"/>
      <c r="H67" s="396"/>
      <c r="J67" s="398"/>
      <c r="K67" s="398"/>
      <c r="L67" s="398"/>
      <c r="M67" s="398"/>
      <c r="N67" s="398"/>
      <c r="AJ67" s="398"/>
      <c r="AK67" s="398"/>
      <c r="AL67" s="398"/>
      <c r="AM67" s="398"/>
      <c r="AN67" s="398"/>
      <c r="AO67" s="398"/>
    </row>
    <row r="68" spans="1:41" x14ac:dyDescent="0.25">
      <c r="A68" s="392"/>
      <c r="B68" s="393"/>
      <c r="C68" s="392"/>
      <c r="D68" s="394"/>
      <c r="E68" s="394"/>
      <c r="F68" s="394"/>
      <c r="G68" s="395"/>
      <c r="H68" s="396"/>
      <c r="J68" s="398"/>
      <c r="K68" s="398"/>
      <c r="L68" s="398"/>
      <c r="M68" s="398"/>
      <c r="N68" s="398"/>
      <c r="AJ68" s="398"/>
      <c r="AK68" s="398"/>
      <c r="AL68" s="398"/>
      <c r="AM68" s="398"/>
      <c r="AN68" s="398"/>
      <c r="AO68" s="398"/>
    </row>
    <row r="69" spans="1:41" x14ac:dyDescent="0.25">
      <c r="A69" s="392"/>
      <c r="B69" s="393"/>
      <c r="C69" s="392"/>
      <c r="D69" s="394"/>
      <c r="E69" s="394"/>
      <c r="F69" s="394"/>
      <c r="G69" s="395"/>
      <c r="H69" s="396"/>
      <c r="J69" s="398"/>
      <c r="K69" s="398"/>
      <c r="L69" s="398"/>
      <c r="M69" s="398"/>
      <c r="N69" s="398"/>
      <c r="AJ69" s="398"/>
      <c r="AK69" s="398"/>
      <c r="AL69" s="398"/>
      <c r="AM69" s="398"/>
      <c r="AN69" s="398"/>
      <c r="AO69" s="398"/>
    </row>
    <row r="70" spans="1:41" x14ac:dyDescent="0.25">
      <c r="A70" s="392"/>
      <c r="B70" s="393"/>
      <c r="C70" s="392"/>
      <c r="D70" s="394"/>
      <c r="E70" s="394"/>
      <c r="F70" s="394"/>
      <c r="G70" s="395"/>
      <c r="H70" s="396"/>
      <c r="J70" s="398"/>
      <c r="K70" s="398"/>
      <c r="L70" s="398"/>
      <c r="M70" s="398"/>
      <c r="N70" s="398"/>
      <c r="AJ70" s="398"/>
      <c r="AK70" s="398"/>
      <c r="AL70" s="398"/>
      <c r="AM70" s="398"/>
      <c r="AN70" s="398"/>
      <c r="AO70" s="398"/>
    </row>
    <row r="71" spans="1:41" x14ac:dyDescent="0.25">
      <c r="A71" s="392"/>
      <c r="B71" s="393"/>
      <c r="C71" s="392"/>
      <c r="D71" s="394"/>
      <c r="E71" s="394"/>
      <c r="F71" s="394"/>
      <c r="G71" s="395"/>
      <c r="H71" s="396"/>
      <c r="J71" s="398"/>
      <c r="K71" s="398"/>
      <c r="L71" s="398"/>
      <c r="M71" s="398"/>
      <c r="N71" s="398"/>
      <c r="AJ71" s="398"/>
      <c r="AK71" s="398"/>
      <c r="AL71" s="398"/>
      <c r="AM71" s="398"/>
      <c r="AN71" s="398"/>
      <c r="AO71" s="398"/>
    </row>
  </sheetData>
  <mergeCells count="1"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5"/>
  <sheetViews>
    <sheetView zoomScaleNormal="100" workbookViewId="0">
      <selection activeCell="A2" sqref="A2:F32"/>
    </sheetView>
  </sheetViews>
  <sheetFormatPr defaultRowHeight="15" x14ac:dyDescent="0.25"/>
  <cols>
    <col min="1" max="1" width="5.28515625" style="41" customWidth="1"/>
    <col min="2" max="2" width="34.5703125" style="115" customWidth="1"/>
    <col min="3" max="3" width="11.28515625" style="68" customWidth="1"/>
    <col min="4" max="4" width="15.140625" style="101" customWidth="1"/>
    <col min="5" max="5" width="19.5703125" style="42" customWidth="1"/>
    <col min="6" max="6" width="33.5703125" customWidth="1"/>
  </cols>
  <sheetData>
    <row r="2" spans="1:8" x14ac:dyDescent="0.25">
      <c r="A2" s="412" t="s">
        <v>658</v>
      </c>
      <c r="B2" s="412"/>
      <c r="C2" s="412"/>
      <c r="D2" s="412"/>
      <c r="E2" s="412"/>
      <c r="F2" s="412"/>
      <c r="G2" s="40"/>
      <c r="H2" s="40"/>
    </row>
    <row r="3" spans="1:8" s="109" customFormat="1" ht="36" customHeight="1" x14ac:dyDescent="0.25">
      <c r="A3" s="106" t="s">
        <v>86</v>
      </c>
      <c r="B3" s="106" t="s">
        <v>683</v>
      </c>
      <c r="C3" s="110" t="s">
        <v>749</v>
      </c>
      <c r="D3" s="107" t="s">
        <v>684</v>
      </c>
      <c r="E3" s="107" t="s">
        <v>716</v>
      </c>
      <c r="F3" s="106" t="s">
        <v>685</v>
      </c>
      <c r="G3" s="108"/>
      <c r="H3" s="108"/>
    </row>
    <row r="4" spans="1:8" s="128" customFormat="1" x14ac:dyDescent="0.25">
      <c r="A4" s="122" t="s">
        <v>134</v>
      </c>
      <c r="B4" s="123" t="s">
        <v>663</v>
      </c>
      <c r="C4" s="124"/>
      <c r="D4" s="125"/>
      <c r="E4" s="122"/>
      <c r="F4" s="126"/>
      <c r="G4" s="127"/>
      <c r="H4" s="127"/>
    </row>
    <row r="5" spans="1:8" ht="60" x14ac:dyDescent="0.25">
      <c r="A5" s="102">
        <v>1</v>
      </c>
      <c r="B5" s="113" t="s">
        <v>731</v>
      </c>
      <c r="C5" s="223">
        <f>+(SUM('TỔNG HỢP'!D7:D9)+'TỔNG HỢP'!D10*0.3+SUM('TỔNG HỢP'!D11:D17))/'TỔNG HỢP'!H4</f>
        <v>50.857364936708869</v>
      </c>
      <c r="D5" s="224" t="s">
        <v>732</v>
      </c>
      <c r="E5" s="141" t="s">
        <v>649</v>
      </c>
      <c r="F5" s="146" t="s">
        <v>818</v>
      </c>
      <c r="G5" s="40"/>
      <c r="H5" s="40"/>
    </row>
    <row r="6" spans="1:8" x14ac:dyDescent="0.25">
      <c r="A6" s="102">
        <v>2</v>
      </c>
      <c r="B6" s="113" t="s">
        <v>664</v>
      </c>
      <c r="C6" s="226">
        <v>26.4</v>
      </c>
      <c r="D6" s="102" t="s">
        <v>711</v>
      </c>
      <c r="E6" s="102" t="s">
        <v>649</v>
      </c>
      <c r="F6" s="103"/>
      <c r="G6" s="40"/>
      <c r="H6" s="40"/>
    </row>
    <row r="7" spans="1:8" x14ac:dyDescent="0.25">
      <c r="A7" s="102">
        <v>3</v>
      </c>
      <c r="B7" s="113" t="s">
        <v>665</v>
      </c>
      <c r="C7" s="112">
        <f>+'TỔNG HỢP'!D16/'TỔNG HỢP'!H3</f>
        <v>6.7401871308016874</v>
      </c>
      <c r="D7" s="141" t="s">
        <v>712</v>
      </c>
      <c r="E7" s="141" t="s">
        <v>649</v>
      </c>
      <c r="F7" s="103"/>
      <c r="G7" s="40"/>
      <c r="H7" s="40"/>
    </row>
    <row r="8" spans="1:8" x14ac:dyDescent="0.25">
      <c r="A8" s="102">
        <v>4</v>
      </c>
      <c r="B8" s="113" t="s">
        <v>666</v>
      </c>
      <c r="C8" s="112">
        <f>+'TỔNG HỢP'!D11/'TỔNG HỢP'!H3</f>
        <v>2.8030177215189873</v>
      </c>
      <c r="D8" s="141" t="s">
        <v>713</v>
      </c>
      <c r="E8" s="141" t="s">
        <v>714</v>
      </c>
      <c r="F8" s="103"/>
      <c r="G8" s="40"/>
      <c r="H8" s="40"/>
    </row>
    <row r="9" spans="1:8" hidden="1" x14ac:dyDescent="0.25">
      <c r="A9" s="102">
        <v>5</v>
      </c>
      <c r="B9" s="113" t="s">
        <v>667</v>
      </c>
      <c r="C9" s="112"/>
      <c r="D9" s="141" t="s">
        <v>682</v>
      </c>
      <c r="E9" s="141"/>
      <c r="F9" s="103"/>
      <c r="G9" s="40"/>
      <c r="H9" s="40"/>
    </row>
    <row r="10" spans="1:8" ht="60" x14ac:dyDescent="0.25">
      <c r="A10" s="102">
        <v>5</v>
      </c>
      <c r="B10" s="113" t="s">
        <v>668</v>
      </c>
      <c r="C10" s="140">
        <v>65</v>
      </c>
      <c r="D10" s="141">
        <v>65</v>
      </c>
      <c r="E10" s="141" t="s">
        <v>715</v>
      </c>
      <c r="F10" s="146" t="s">
        <v>862</v>
      </c>
      <c r="G10" s="40"/>
      <c r="H10" s="40"/>
    </row>
    <row r="11" spans="1:8" x14ac:dyDescent="0.25">
      <c r="A11" s="102"/>
      <c r="B11" s="139"/>
      <c r="C11" s="112">
        <f>+'TỔNG HỢP'!T21/'TỔNG HỢP'!S11</f>
        <v>10.165152523391789</v>
      </c>
      <c r="D11" s="141" t="s">
        <v>717</v>
      </c>
      <c r="E11" s="141" t="s">
        <v>651</v>
      </c>
      <c r="F11" s="103"/>
      <c r="G11" s="40"/>
      <c r="H11" s="40"/>
    </row>
    <row r="12" spans="1:8" ht="60" x14ac:dyDescent="0.25">
      <c r="A12" s="102">
        <v>6</v>
      </c>
      <c r="B12" s="113" t="s">
        <v>669</v>
      </c>
      <c r="C12" s="140">
        <v>55</v>
      </c>
      <c r="D12" s="141">
        <v>55</v>
      </c>
      <c r="E12" s="141" t="s">
        <v>715</v>
      </c>
      <c r="F12" s="146" t="s">
        <v>852</v>
      </c>
      <c r="G12" s="40"/>
      <c r="H12" s="40"/>
    </row>
    <row r="13" spans="1:8" x14ac:dyDescent="0.25">
      <c r="A13" s="102"/>
      <c r="B13" s="139"/>
      <c r="C13" s="112">
        <f>+'TỔNG HỢP'!T22/'TỔNG HỢP'!S16</f>
        <v>12.71217475951625</v>
      </c>
      <c r="D13" s="141" t="s">
        <v>717</v>
      </c>
      <c r="E13" s="141" t="s">
        <v>651</v>
      </c>
      <c r="F13" s="103"/>
      <c r="G13" s="40"/>
      <c r="H13" s="40"/>
    </row>
    <row r="14" spans="1:8" ht="60" x14ac:dyDescent="0.25">
      <c r="A14" s="102">
        <v>7</v>
      </c>
      <c r="B14" s="113" t="s">
        <v>670</v>
      </c>
      <c r="C14" s="140">
        <v>40</v>
      </c>
      <c r="D14" s="141">
        <v>40</v>
      </c>
      <c r="E14" s="141" t="s">
        <v>715</v>
      </c>
      <c r="F14" s="146" t="s">
        <v>817</v>
      </c>
      <c r="G14" s="40"/>
      <c r="H14" s="40"/>
    </row>
    <row r="15" spans="1:8" x14ac:dyDescent="0.25">
      <c r="A15" s="102"/>
      <c r="B15" s="139"/>
      <c r="C15" s="112">
        <f>+'TỔNG HỢP'!D15/'TỔNG HỢP'!O7</f>
        <v>10.240347083025634</v>
      </c>
      <c r="D15" s="141" t="s">
        <v>717</v>
      </c>
      <c r="E15" s="141" t="s">
        <v>651</v>
      </c>
      <c r="F15" s="146"/>
      <c r="G15" s="40"/>
      <c r="H15" s="40"/>
    </row>
    <row r="16" spans="1:8" x14ac:dyDescent="0.25">
      <c r="A16" s="102">
        <v>8</v>
      </c>
      <c r="B16" s="113" t="s">
        <v>92</v>
      </c>
      <c r="C16" s="223">
        <f>+'TỔNG HỢP'!D20/'TỔNG HỢP'!H3</f>
        <v>1.0868698312236287</v>
      </c>
      <c r="D16" s="225" t="s">
        <v>1206</v>
      </c>
      <c r="E16" s="141" t="s">
        <v>649</v>
      </c>
      <c r="F16" s="103"/>
      <c r="G16" s="40"/>
      <c r="H16" s="40"/>
    </row>
    <row r="17" spans="1:8" s="128" customFormat="1" x14ac:dyDescent="0.25">
      <c r="A17" s="122" t="s">
        <v>671</v>
      </c>
      <c r="B17" s="123" t="s">
        <v>672</v>
      </c>
      <c r="C17" s="124"/>
      <c r="D17" s="125"/>
      <c r="E17" s="122"/>
      <c r="F17" s="126"/>
      <c r="G17" s="127"/>
      <c r="H17" s="127"/>
    </row>
    <row r="18" spans="1:8" ht="33" customHeight="1" x14ac:dyDescent="0.25">
      <c r="A18" s="102">
        <v>1</v>
      </c>
      <c r="B18" s="114" t="s">
        <v>859</v>
      </c>
      <c r="C18" s="112">
        <f>+'TỔNG HỢP'!F40/'TỔNG HỢP'!K5*100</f>
        <v>19.442252376955317</v>
      </c>
      <c r="D18" s="141" t="s">
        <v>721</v>
      </c>
      <c r="E18" s="141" t="s">
        <v>655</v>
      </c>
      <c r="F18" s="114" t="s">
        <v>1204</v>
      </c>
      <c r="G18" s="40"/>
      <c r="H18" s="40"/>
    </row>
    <row r="19" spans="1:8" ht="15" hidden="1" customHeight="1" x14ac:dyDescent="0.25">
      <c r="A19" s="102">
        <v>2</v>
      </c>
      <c r="B19" s="114" t="s">
        <v>751</v>
      </c>
      <c r="C19" s="112">
        <f>+'TỔNG HỢP'!D29/'TỔNG HỢP'!H3</f>
        <v>0.86515801687763705</v>
      </c>
      <c r="D19" s="141" t="s">
        <v>752</v>
      </c>
      <c r="E19" s="141" t="s">
        <v>714</v>
      </c>
      <c r="F19" s="114"/>
      <c r="G19" s="40"/>
      <c r="H19" s="40"/>
    </row>
    <row r="20" spans="1:8" x14ac:dyDescent="0.25">
      <c r="A20" s="102">
        <v>2</v>
      </c>
      <c r="B20" s="113" t="s">
        <v>673</v>
      </c>
      <c r="C20" s="140"/>
      <c r="D20" s="102"/>
      <c r="E20" s="102"/>
      <c r="F20" s="103"/>
      <c r="G20" s="40"/>
      <c r="H20" s="40"/>
    </row>
    <row r="21" spans="1:8" s="119" customFormat="1" x14ac:dyDescent="0.25">
      <c r="A21" s="116"/>
      <c r="B21" s="117" t="s">
        <v>674</v>
      </c>
      <c r="C21" s="148">
        <v>150</v>
      </c>
      <c r="D21" s="142" t="s">
        <v>748</v>
      </c>
      <c r="E21" s="142" t="s">
        <v>718</v>
      </c>
      <c r="F21" s="121"/>
      <c r="G21" s="118"/>
      <c r="H21" s="118"/>
    </row>
    <row r="22" spans="1:8" s="119" customFormat="1" ht="30" x14ac:dyDescent="0.25">
      <c r="A22" s="116"/>
      <c r="B22" s="120" t="s">
        <v>675</v>
      </c>
      <c r="C22" s="145">
        <v>0.1</v>
      </c>
      <c r="D22" s="145">
        <v>0.1</v>
      </c>
      <c r="E22" s="116" t="s">
        <v>729</v>
      </c>
      <c r="F22" s="121"/>
      <c r="G22" s="118"/>
      <c r="H22" s="118"/>
    </row>
    <row r="23" spans="1:8" s="119" customFormat="1" x14ac:dyDescent="0.25">
      <c r="A23" s="116"/>
      <c r="B23" s="117" t="s">
        <v>676</v>
      </c>
      <c r="C23" s="145">
        <v>0.08</v>
      </c>
      <c r="D23" s="145">
        <v>0.08</v>
      </c>
      <c r="E23" s="116" t="s">
        <v>729</v>
      </c>
      <c r="F23" s="121"/>
      <c r="G23" s="118"/>
      <c r="H23" s="118"/>
    </row>
    <row r="24" spans="1:8" x14ac:dyDescent="0.25">
      <c r="A24" s="102">
        <v>3</v>
      </c>
      <c r="B24" s="113" t="s">
        <v>855</v>
      </c>
      <c r="C24" s="140"/>
      <c r="D24" s="102"/>
      <c r="E24" s="102"/>
      <c r="F24" s="103"/>
      <c r="G24" s="40"/>
      <c r="H24" s="40"/>
    </row>
    <row r="25" spans="1:8" x14ac:dyDescent="0.25">
      <c r="A25" s="102"/>
      <c r="B25" s="117" t="s">
        <v>677</v>
      </c>
      <c r="C25" s="148">
        <v>500</v>
      </c>
      <c r="D25" s="116">
        <v>500</v>
      </c>
      <c r="E25" s="116" t="s">
        <v>719</v>
      </c>
      <c r="F25" s="103"/>
      <c r="G25" s="40"/>
      <c r="H25" s="40"/>
    </row>
    <row r="26" spans="1:8" x14ac:dyDescent="0.25">
      <c r="A26" s="102"/>
      <c r="B26" s="117" t="s">
        <v>678</v>
      </c>
      <c r="C26" s="145">
        <v>0.35</v>
      </c>
      <c r="D26" s="145">
        <v>0.35</v>
      </c>
      <c r="E26" s="116" t="s">
        <v>730</v>
      </c>
      <c r="F26" s="103"/>
      <c r="G26" s="40"/>
      <c r="H26" s="40"/>
    </row>
    <row r="27" spans="1:8" x14ac:dyDescent="0.25">
      <c r="A27" s="102">
        <v>4</v>
      </c>
      <c r="B27" s="114" t="s">
        <v>856</v>
      </c>
      <c r="C27" s="140"/>
      <c r="D27" s="102"/>
      <c r="E27" s="102"/>
      <c r="F27" s="103"/>
      <c r="G27" s="40"/>
      <c r="H27" s="40"/>
    </row>
    <row r="28" spans="1:8" x14ac:dyDescent="0.25">
      <c r="A28" s="102">
        <v>4.0999999999999996</v>
      </c>
      <c r="B28" s="113" t="s">
        <v>679</v>
      </c>
      <c r="C28" s="150">
        <v>1</v>
      </c>
      <c r="D28" s="143" t="s">
        <v>750</v>
      </c>
      <c r="E28" s="143" t="s">
        <v>733</v>
      </c>
      <c r="F28" s="103"/>
      <c r="G28" s="40"/>
      <c r="H28" s="40"/>
    </row>
    <row r="29" spans="1:8" ht="30" x14ac:dyDescent="0.25">
      <c r="A29" s="102">
        <v>4.2</v>
      </c>
      <c r="B29" s="114" t="s">
        <v>857</v>
      </c>
      <c r="C29" s="147">
        <v>1.3</v>
      </c>
      <c r="D29" s="149">
        <v>1</v>
      </c>
      <c r="E29" s="102" t="s">
        <v>720</v>
      </c>
      <c r="F29" s="103"/>
      <c r="G29" s="40"/>
      <c r="H29" s="40"/>
    </row>
    <row r="30" spans="1:8" x14ac:dyDescent="0.25">
      <c r="A30" s="102">
        <v>5</v>
      </c>
      <c r="B30" s="113" t="s">
        <v>858</v>
      </c>
      <c r="C30" s="111"/>
      <c r="D30" s="105"/>
      <c r="E30" s="102"/>
      <c r="F30" s="104"/>
      <c r="G30" s="40"/>
      <c r="H30" s="40"/>
    </row>
    <row r="31" spans="1:8" s="119" customFormat="1" x14ac:dyDescent="0.25">
      <c r="A31" s="116"/>
      <c r="B31" s="117" t="s">
        <v>680</v>
      </c>
      <c r="C31" s="148">
        <v>170</v>
      </c>
      <c r="D31" s="116"/>
      <c r="E31" s="116" t="s">
        <v>754</v>
      </c>
      <c r="F31" s="153"/>
      <c r="G31" s="118"/>
      <c r="H31" s="118"/>
    </row>
    <row r="32" spans="1:8" s="119" customFormat="1" x14ac:dyDescent="0.25">
      <c r="A32" s="116"/>
      <c r="B32" s="117" t="s">
        <v>681</v>
      </c>
      <c r="C32" s="148">
        <v>60</v>
      </c>
      <c r="D32" s="116"/>
      <c r="E32" s="116" t="s">
        <v>754</v>
      </c>
      <c r="F32" s="153"/>
      <c r="G32" s="118"/>
      <c r="H32" s="118"/>
    </row>
    <row r="33" spans="2:8" x14ac:dyDescent="0.25">
      <c r="B33" s="48"/>
      <c r="C33" s="49"/>
      <c r="D33" s="100"/>
      <c r="E33" s="41"/>
      <c r="F33" s="40"/>
      <c r="G33" s="40"/>
      <c r="H33" s="40"/>
    </row>
    <row r="34" spans="2:8" x14ac:dyDescent="0.25">
      <c r="B34" s="48"/>
      <c r="C34" s="49"/>
      <c r="D34" s="100"/>
      <c r="E34" s="41"/>
      <c r="F34" s="40"/>
      <c r="G34" s="40"/>
      <c r="H34" s="40"/>
    </row>
    <row r="35" spans="2:8" x14ac:dyDescent="0.25">
      <c r="B35" s="48"/>
      <c r="C35" s="49"/>
      <c r="D35" s="100"/>
      <c r="E35" s="41"/>
      <c r="F35" s="40"/>
      <c r="G35" s="40"/>
      <c r="H35" s="40"/>
    </row>
    <row r="36" spans="2:8" x14ac:dyDescent="0.25">
      <c r="B36" s="48"/>
      <c r="C36" s="49"/>
      <c r="D36" s="100"/>
      <c r="E36" s="41"/>
      <c r="F36" s="40"/>
      <c r="G36" s="40"/>
      <c r="H36" s="40"/>
    </row>
    <row r="37" spans="2:8" x14ac:dyDescent="0.25">
      <c r="B37" s="48"/>
      <c r="C37" s="49"/>
      <c r="D37" s="100"/>
      <c r="E37" s="41"/>
      <c r="F37" s="40"/>
      <c r="G37" s="40"/>
      <c r="H37" s="40"/>
    </row>
    <row r="38" spans="2:8" x14ac:dyDescent="0.25">
      <c r="B38" s="48"/>
      <c r="C38" s="49"/>
      <c r="D38" s="100"/>
      <c r="E38" s="41"/>
      <c r="F38" s="40"/>
      <c r="G38" s="40"/>
      <c r="H38" s="40"/>
    </row>
    <row r="39" spans="2:8" x14ac:dyDescent="0.25">
      <c r="B39" s="48"/>
      <c r="C39" s="49"/>
      <c r="D39" s="100"/>
      <c r="E39" s="41"/>
      <c r="F39" s="40"/>
      <c r="G39" s="40"/>
      <c r="H39" s="40"/>
    </row>
    <row r="40" spans="2:8" x14ac:dyDescent="0.25">
      <c r="B40" s="48"/>
      <c r="C40" s="49"/>
      <c r="D40" s="100"/>
      <c r="E40" s="41"/>
      <c r="F40" s="40"/>
      <c r="G40" s="40"/>
      <c r="H40" s="40"/>
    </row>
    <row r="41" spans="2:8" x14ac:dyDescent="0.25">
      <c r="B41" s="48"/>
      <c r="C41" s="49"/>
      <c r="D41" s="100"/>
      <c r="E41" s="41"/>
      <c r="F41" s="40"/>
      <c r="G41" s="40"/>
      <c r="H41" s="40"/>
    </row>
    <row r="42" spans="2:8" x14ac:dyDescent="0.25">
      <c r="B42" s="48"/>
      <c r="C42" s="49"/>
      <c r="D42" s="100"/>
      <c r="E42" s="41"/>
      <c r="F42" s="40"/>
      <c r="G42" s="40"/>
      <c r="H42" s="40"/>
    </row>
    <row r="43" spans="2:8" x14ac:dyDescent="0.25">
      <c r="B43" s="48"/>
      <c r="C43" s="49"/>
      <c r="D43" s="100"/>
      <c r="E43" s="41"/>
      <c r="F43" s="40"/>
      <c r="G43" s="40"/>
      <c r="H43" s="40"/>
    </row>
    <row r="44" spans="2:8" x14ac:dyDescent="0.25">
      <c r="B44" s="48"/>
      <c r="C44" s="49"/>
      <c r="D44" s="100"/>
      <c r="E44" s="41"/>
      <c r="F44" s="40"/>
      <c r="G44" s="40"/>
      <c r="H44" s="40"/>
    </row>
    <row r="45" spans="2:8" x14ac:dyDescent="0.25">
      <c r="B45" s="48"/>
      <c r="C45" s="49"/>
      <c r="D45" s="100"/>
      <c r="E45" s="41"/>
      <c r="F45" s="40"/>
      <c r="G45" s="40"/>
      <c r="H45" s="40"/>
    </row>
    <row r="46" spans="2:8" x14ac:dyDescent="0.25">
      <c r="B46" s="48"/>
      <c r="C46" s="49"/>
      <c r="D46" s="100"/>
      <c r="E46" s="41"/>
      <c r="F46" s="40"/>
      <c r="G46" s="40"/>
      <c r="H46" s="40"/>
    </row>
    <row r="47" spans="2:8" x14ac:dyDescent="0.25">
      <c r="B47" s="48"/>
      <c r="C47" s="49"/>
      <c r="D47" s="100"/>
      <c r="E47" s="41"/>
      <c r="F47" s="40"/>
      <c r="G47" s="40"/>
      <c r="H47" s="40"/>
    </row>
    <row r="48" spans="2:8" x14ac:dyDescent="0.25">
      <c r="B48" s="48"/>
      <c r="C48" s="49"/>
      <c r="D48" s="100"/>
      <c r="E48" s="41"/>
      <c r="F48" s="40"/>
      <c r="G48" s="40"/>
      <c r="H48" s="40"/>
    </row>
    <row r="49" spans="2:8" x14ac:dyDescent="0.25">
      <c r="B49" s="48"/>
      <c r="C49" s="49"/>
      <c r="D49" s="100"/>
      <c r="E49" s="41"/>
      <c r="F49" s="40"/>
      <c r="G49" s="40"/>
      <c r="H49" s="40"/>
    </row>
    <row r="50" spans="2:8" x14ac:dyDescent="0.25">
      <c r="B50" s="48"/>
      <c r="C50" s="49"/>
      <c r="D50" s="100"/>
      <c r="E50" s="41"/>
      <c r="F50" s="40"/>
      <c r="G50" s="40"/>
      <c r="H50" s="40"/>
    </row>
    <row r="51" spans="2:8" x14ac:dyDescent="0.25">
      <c r="B51" s="48"/>
      <c r="C51" s="49"/>
      <c r="D51" s="100"/>
      <c r="E51" s="41"/>
      <c r="F51" s="40"/>
      <c r="G51" s="40"/>
      <c r="H51" s="40"/>
    </row>
    <row r="52" spans="2:8" x14ac:dyDescent="0.25">
      <c r="B52" s="48"/>
      <c r="C52" s="49"/>
      <c r="D52" s="100"/>
      <c r="E52" s="41"/>
      <c r="F52" s="40"/>
      <c r="G52" s="40"/>
      <c r="H52" s="40"/>
    </row>
    <row r="53" spans="2:8" x14ac:dyDescent="0.25">
      <c r="B53" s="48"/>
      <c r="C53" s="49"/>
      <c r="D53" s="100"/>
      <c r="E53" s="41"/>
      <c r="F53" s="40"/>
      <c r="G53" s="40"/>
      <c r="H53" s="40"/>
    </row>
    <row r="54" spans="2:8" x14ac:dyDescent="0.25">
      <c r="B54" s="48"/>
      <c r="C54" s="49"/>
      <c r="D54" s="100"/>
      <c r="E54" s="41"/>
      <c r="F54" s="40"/>
      <c r="G54" s="40"/>
      <c r="H54" s="40"/>
    </row>
    <row r="55" spans="2:8" x14ac:dyDescent="0.25">
      <c r="B55" s="48"/>
      <c r="C55" s="49"/>
      <c r="D55" s="100"/>
      <c r="E55" s="41"/>
      <c r="F55" s="40"/>
      <c r="G55" s="40"/>
      <c r="H55" s="40"/>
    </row>
    <row r="56" spans="2:8" x14ac:dyDescent="0.25">
      <c r="B56" s="48"/>
      <c r="C56" s="49"/>
      <c r="D56" s="100"/>
      <c r="E56" s="41"/>
      <c r="F56" s="40"/>
      <c r="G56" s="40"/>
      <c r="H56" s="40"/>
    </row>
    <row r="57" spans="2:8" x14ac:dyDescent="0.25">
      <c r="B57" s="48"/>
      <c r="C57" s="49"/>
      <c r="D57" s="100"/>
      <c r="E57" s="41"/>
      <c r="F57" s="40"/>
      <c r="G57" s="40"/>
      <c r="H57" s="40"/>
    </row>
    <row r="58" spans="2:8" x14ac:dyDescent="0.25">
      <c r="B58" s="48"/>
      <c r="C58" s="49"/>
      <c r="D58" s="100"/>
      <c r="E58" s="41"/>
      <c r="F58" s="40"/>
      <c r="G58" s="40"/>
      <c r="H58" s="40"/>
    </row>
    <row r="59" spans="2:8" x14ac:dyDescent="0.25">
      <c r="B59" s="48"/>
      <c r="C59" s="49"/>
      <c r="D59" s="100"/>
      <c r="E59" s="41"/>
      <c r="F59" s="40"/>
      <c r="G59" s="40"/>
      <c r="H59" s="40"/>
    </row>
    <row r="60" spans="2:8" x14ac:dyDescent="0.25">
      <c r="B60" s="48"/>
      <c r="C60" s="49"/>
      <c r="D60" s="100"/>
      <c r="E60" s="41"/>
      <c r="F60" s="40"/>
      <c r="G60" s="40"/>
      <c r="H60" s="40"/>
    </row>
    <row r="61" spans="2:8" x14ac:dyDescent="0.25">
      <c r="B61" s="48"/>
      <c r="C61" s="49"/>
      <c r="D61" s="100"/>
      <c r="E61" s="41"/>
      <c r="F61" s="40"/>
      <c r="G61" s="40"/>
      <c r="H61" s="40"/>
    </row>
    <row r="62" spans="2:8" x14ac:dyDescent="0.25">
      <c r="B62" s="48"/>
      <c r="C62" s="49"/>
      <c r="D62" s="100"/>
      <c r="E62" s="41"/>
      <c r="F62" s="40"/>
      <c r="G62" s="40"/>
      <c r="H62" s="40"/>
    </row>
    <row r="63" spans="2:8" x14ac:dyDescent="0.25">
      <c r="B63" s="48"/>
      <c r="C63" s="49"/>
      <c r="D63" s="100"/>
      <c r="E63" s="41"/>
      <c r="F63" s="40"/>
      <c r="G63" s="40"/>
      <c r="H63" s="40"/>
    </row>
    <row r="64" spans="2:8" x14ac:dyDescent="0.25">
      <c r="B64" s="48"/>
      <c r="C64" s="49"/>
      <c r="D64" s="100"/>
      <c r="E64" s="41"/>
      <c r="F64" s="40"/>
      <c r="G64" s="40"/>
      <c r="H64" s="40"/>
    </row>
    <row r="65" spans="2:8" x14ac:dyDescent="0.25">
      <c r="B65" s="48"/>
      <c r="C65" s="49"/>
      <c r="D65" s="100"/>
      <c r="E65" s="41"/>
      <c r="F65" s="40"/>
      <c r="G65" s="40"/>
      <c r="H65" s="40"/>
    </row>
    <row r="66" spans="2:8" x14ac:dyDescent="0.25">
      <c r="B66" s="48"/>
      <c r="C66" s="49"/>
      <c r="D66" s="100"/>
      <c r="E66" s="41"/>
      <c r="F66" s="40"/>
      <c r="G66" s="40"/>
      <c r="H66" s="40"/>
    </row>
    <row r="67" spans="2:8" x14ac:dyDescent="0.25">
      <c r="B67" s="48"/>
      <c r="C67" s="49"/>
      <c r="D67" s="100"/>
      <c r="E67" s="41"/>
      <c r="F67" s="40"/>
      <c r="G67" s="40"/>
      <c r="H67" s="40"/>
    </row>
    <row r="68" spans="2:8" x14ac:dyDescent="0.25">
      <c r="B68" s="48"/>
      <c r="C68" s="49"/>
      <c r="D68" s="100"/>
      <c r="E68" s="41"/>
      <c r="F68" s="40"/>
      <c r="G68" s="40"/>
      <c r="H68" s="40"/>
    </row>
    <row r="69" spans="2:8" x14ac:dyDescent="0.25">
      <c r="B69" s="48"/>
      <c r="C69" s="49"/>
      <c r="D69" s="100"/>
      <c r="E69" s="41"/>
      <c r="F69" s="40"/>
      <c r="G69" s="40"/>
      <c r="H69" s="40"/>
    </row>
    <row r="70" spans="2:8" x14ac:dyDescent="0.25">
      <c r="B70" s="48"/>
      <c r="C70" s="49"/>
      <c r="D70" s="100"/>
      <c r="E70" s="41"/>
      <c r="F70" s="40"/>
      <c r="G70" s="40"/>
      <c r="H70" s="40"/>
    </row>
    <row r="71" spans="2:8" x14ac:dyDescent="0.25">
      <c r="B71" s="48"/>
      <c r="C71" s="49"/>
      <c r="D71" s="100"/>
      <c r="E71" s="41"/>
      <c r="F71" s="40"/>
      <c r="G71" s="40"/>
      <c r="H71" s="40"/>
    </row>
    <row r="72" spans="2:8" x14ac:dyDescent="0.25">
      <c r="B72" s="48"/>
      <c r="C72" s="49"/>
      <c r="D72" s="100"/>
      <c r="E72" s="41"/>
      <c r="F72" s="40"/>
      <c r="G72" s="40"/>
      <c r="H72" s="40"/>
    </row>
    <row r="73" spans="2:8" x14ac:dyDescent="0.25">
      <c r="B73" s="48"/>
      <c r="C73" s="49"/>
      <c r="D73" s="100"/>
      <c r="E73" s="41"/>
      <c r="F73" s="40"/>
      <c r="G73" s="40"/>
      <c r="H73" s="40"/>
    </row>
    <row r="74" spans="2:8" x14ac:dyDescent="0.25">
      <c r="B74" s="48"/>
      <c r="C74" s="49"/>
      <c r="D74" s="100"/>
      <c r="E74" s="41"/>
      <c r="F74" s="40"/>
      <c r="G74" s="40"/>
      <c r="H74" s="40"/>
    </row>
    <row r="75" spans="2:8" x14ac:dyDescent="0.25">
      <c r="B75" s="48"/>
      <c r="C75" s="49"/>
      <c r="D75" s="100"/>
      <c r="E75" s="41"/>
      <c r="F75" s="40"/>
      <c r="G75" s="40"/>
      <c r="H75" s="40"/>
    </row>
    <row r="76" spans="2:8" x14ac:dyDescent="0.25">
      <c r="B76" s="48"/>
      <c r="C76" s="49"/>
      <c r="D76" s="100"/>
      <c r="E76" s="41"/>
      <c r="F76" s="40"/>
      <c r="G76" s="40"/>
      <c r="H76" s="40"/>
    </row>
    <row r="77" spans="2:8" x14ac:dyDescent="0.25">
      <c r="B77" s="48"/>
      <c r="C77" s="49"/>
      <c r="D77" s="100"/>
      <c r="E77" s="41"/>
      <c r="F77" s="40"/>
      <c r="G77" s="40"/>
      <c r="H77" s="40"/>
    </row>
    <row r="78" spans="2:8" x14ac:dyDescent="0.25">
      <c r="B78" s="48"/>
      <c r="C78" s="49"/>
      <c r="D78" s="100"/>
      <c r="E78" s="41"/>
      <c r="F78" s="40"/>
      <c r="G78" s="40"/>
      <c r="H78" s="40"/>
    </row>
    <row r="79" spans="2:8" x14ac:dyDescent="0.25">
      <c r="B79" s="48"/>
      <c r="C79" s="49"/>
      <c r="D79" s="100"/>
      <c r="E79" s="41"/>
      <c r="F79" s="40"/>
      <c r="G79" s="40"/>
      <c r="H79" s="40"/>
    </row>
    <row r="80" spans="2:8" x14ac:dyDescent="0.25">
      <c r="B80" s="48"/>
      <c r="C80" s="49"/>
      <c r="D80" s="100"/>
      <c r="E80" s="41"/>
      <c r="F80" s="40"/>
      <c r="G80" s="40"/>
      <c r="H80" s="40"/>
    </row>
    <row r="81" spans="2:8" x14ac:dyDescent="0.25">
      <c r="B81" s="48"/>
      <c r="C81" s="49"/>
      <c r="D81" s="100"/>
      <c r="E81" s="41"/>
      <c r="F81" s="40"/>
      <c r="G81" s="40"/>
      <c r="H81" s="40"/>
    </row>
    <row r="82" spans="2:8" x14ac:dyDescent="0.25">
      <c r="B82" s="48"/>
      <c r="C82" s="49"/>
      <c r="D82" s="100"/>
      <c r="E82" s="41"/>
      <c r="F82" s="40"/>
      <c r="G82" s="40"/>
      <c r="H82" s="40"/>
    </row>
    <row r="83" spans="2:8" x14ac:dyDescent="0.25">
      <c r="B83" s="48"/>
      <c r="C83" s="49"/>
      <c r="D83" s="100"/>
      <c r="E83" s="41"/>
      <c r="F83" s="40"/>
      <c r="G83" s="40"/>
      <c r="H83" s="40"/>
    </row>
    <row r="84" spans="2:8" x14ac:dyDescent="0.25">
      <c r="B84" s="48"/>
      <c r="C84" s="49"/>
      <c r="D84" s="100"/>
      <c r="E84" s="41"/>
      <c r="F84" s="40"/>
      <c r="G84" s="40"/>
      <c r="H84" s="40"/>
    </row>
    <row r="85" spans="2:8" x14ac:dyDescent="0.25">
      <c r="B85" s="48"/>
      <c r="C85" s="49"/>
      <c r="D85" s="100"/>
      <c r="E85" s="41"/>
      <c r="F85" s="40"/>
      <c r="G85" s="40"/>
      <c r="H85" s="40"/>
    </row>
    <row r="86" spans="2:8" x14ac:dyDescent="0.25">
      <c r="B86" s="48"/>
      <c r="C86" s="49"/>
      <c r="D86" s="100"/>
      <c r="E86" s="41"/>
      <c r="F86" s="40"/>
      <c r="G86" s="40"/>
      <c r="H86" s="40"/>
    </row>
    <row r="87" spans="2:8" x14ac:dyDescent="0.25">
      <c r="B87" s="48"/>
      <c r="C87" s="49"/>
      <c r="D87" s="100"/>
      <c r="E87" s="41"/>
      <c r="F87" s="40"/>
      <c r="G87" s="40"/>
      <c r="H87" s="40"/>
    </row>
    <row r="88" spans="2:8" x14ac:dyDescent="0.25">
      <c r="B88" s="48"/>
      <c r="C88" s="49"/>
      <c r="D88" s="100"/>
      <c r="E88" s="41"/>
      <c r="F88" s="40"/>
      <c r="G88" s="40"/>
      <c r="H88" s="40"/>
    </row>
    <row r="89" spans="2:8" x14ac:dyDescent="0.25">
      <c r="B89" s="48"/>
      <c r="C89" s="49"/>
      <c r="D89" s="100"/>
      <c r="E89" s="41"/>
      <c r="F89" s="40"/>
      <c r="G89" s="40"/>
      <c r="H89" s="40"/>
    </row>
    <row r="90" spans="2:8" x14ac:dyDescent="0.25">
      <c r="B90" s="48"/>
      <c r="C90" s="49"/>
      <c r="D90" s="100"/>
      <c r="E90" s="41"/>
      <c r="F90" s="40"/>
      <c r="G90" s="40"/>
      <c r="H90" s="40"/>
    </row>
    <row r="91" spans="2:8" x14ac:dyDescent="0.25">
      <c r="B91" s="48"/>
      <c r="C91" s="49"/>
      <c r="D91" s="100"/>
      <c r="E91" s="41"/>
      <c r="F91" s="40"/>
      <c r="G91" s="40"/>
      <c r="H91" s="40"/>
    </row>
    <row r="92" spans="2:8" x14ac:dyDescent="0.25">
      <c r="B92" s="48"/>
      <c r="C92" s="49"/>
      <c r="D92" s="100"/>
      <c r="E92" s="41"/>
      <c r="F92" s="40"/>
      <c r="G92" s="40"/>
      <c r="H92" s="40"/>
    </row>
    <row r="93" spans="2:8" x14ac:dyDescent="0.25">
      <c r="B93" s="48"/>
      <c r="C93" s="49"/>
      <c r="D93" s="100"/>
      <c r="E93" s="41"/>
      <c r="F93" s="40"/>
      <c r="G93" s="40"/>
      <c r="H93" s="40"/>
    </row>
    <row r="94" spans="2:8" x14ac:dyDescent="0.25">
      <c r="B94" s="48"/>
      <c r="C94" s="49"/>
      <c r="D94" s="100"/>
      <c r="E94" s="41"/>
      <c r="F94" s="40"/>
      <c r="G94" s="40"/>
      <c r="H94" s="40"/>
    </row>
    <row r="95" spans="2:8" x14ac:dyDescent="0.25">
      <c r="B95" s="48"/>
      <c r="C95" s="49"/>
      <c r="D95" s="100"/>
      <c r="E95" s="41"/>
      <c r="F95" s="40"/>
      <c r="G95" s="40"/>
      <c r="H95" s="40"/>
    </row>
    <row r="96" spans="2:8" x14ac:dyDescent="0.25">
      <c r="B96" s="48"/>
      <c r="C96" s="49"/>
      <c r="D96" s="100"/>
      <c r="E96" s="41"/>
      <c r="F96" s="40"/>
      <c r="G96" s="40"/>
      <c r="H96" s="40"/>
    </row>
    <row r="97" spans="2:8" x14ac:dyDescent="0.25">
      <c r="B97" s="48"/>
      <c r="C97" s="49"/>
      <c r="D97" s="100"/>
      <c r="E97" s="41"/>
      <c r="F97" s="40"/>
      <c r="G97" s="40"/>
      <c r="H97" s="40"/>
    </row>
    <row r="98" spans="2:8" x14ac:dyDescent="0.25">
      <c r="B98" s="48"/>
      <c r="C98" s="49"/>
      <c r="D98" s="100"/>
      <c r="E98" s="41"/>
      <c r="F98" s="40"/>
      <c r="G98" s="40"/>
      <c r="H98" s="40"/>
    </row>
    <row r="99" spans="2:8" x14ac:dyDescent="0.25">
      <c r="B99" s="48"/>
      <c r="C99" s="49"/>
      <c r="D99" s="100"/>
      <c r="E99" s="41"/>
      <c r="F99" s="40"/>
      <c r="G99" s="40"/>
      <c r="H99" s="40"/>
    </row>
    <row r="100" spans="2:8" x14ac:dyDescent="0.25">
      <c r="B100" s="48"/>
      <c r="C100" s="49"/>
      <c r="D100" s="100"/>
      <c r="E100" s="41"/>
      <c r="F100" s="40"/>
      <c r="G100" s="40"/>
      <c r="H100" s="40"/>
    </row>
    <row r="101" spans="2:8" x14ac:dyDescent="0.25">
      <c r="B101" s="48"/>
      <c r="C101" s="49"/>
      <c r="D101" s="100"/>
      <c r="E101" s="41"/>
      <c r="F101" s="40"/>
      <c r="G101" s="40"/>
      <c r="H101" s="40"/>
    </row>
    <row r="102" spans="2:8" x14ac:dyDescent="0.25">
      <c r="B102" s="48"/>
      <c r="C102" s="49"/>
      <c r="D102" s="100"/>
      <c r="E102" s="41"/>
      <c r="F102" s="40"/>
      <c r="G102" s="40"/>
      <c r="H102" s="40"/>
    </row>
    <row r="103" spans="2:8" x14ac:dyDescent="0.25">
      <c r="B103" s="48"/>
      <c r="C103" s="49"/>
      <c r="D103" s="100"/>
      <c r="E103" s="41"/>
      <c r="F103" s="40"/>
      <c r="G103" s="40"/>
      <c r="H103" s="40"/>
    </row>
    <row r="104" spans="2:8" x14ac:dyDescent="0.25">
      <c r="B104" s="48"/>
      <c r="C104" s="49"/>
      <c r="D104" s="100"/>
      <c r="E104" s="41"/>
      <c r="F104" s="40"/>
      <c r="G104" s="40"/>
      <c r="H104" s="40"/>
    </row>
    <row r="105" spans="2:8" x14ac:dyDescent="0.25">
      <c r="B105" s="48"/>
      <c r="C105" s="49"/>
      <c r="D105" s="100"/>
      <c r="E105" s="41"/>
      <c r="F105" s="40"/>
      <c r="G105" s="40"/>
      <c r="H105" s="40"/>
    </row>
    <row r="106" spans="2:8" x14ac:dyDescent="0.25">
      <c r="B106" s="48"/>
      <c r="C106" s="49"/>
      <c r="D106" s="100"/>
      <c r="E106" s="41"/>
      <c r="F106" s="40"/>
      <c r="G106" s="40"/>
      <c r="H106" s="40"/>
    </row>
    <row r="107" spans="2:8" x14ac:dyDescent="0.25">
      <c r="B107" s="48"/>
      <c r="C107" s="49"/>
      <c r="D107" s="100"/>
      <c r="E107" s="41"/>
      <c r="F107" s="40"/>
      <c r="G107" s="40"/>
      <c r="H107" s="40"/>
    </row>
    <row r="108" spans="2:8" x14ac:dyDescent="0.25">
      <c r="B108" s="48"/>
      <c r="C108" s="49"/>
      <c r="D108" s="100"/>
      <c r="E108" s="41"/>
      <c r="F108" s="40"/>
      <c r="G108" s="40"/>
      <c r="H108" s="40"/>
    </row>
    <row r="109" spans="2:8" x14ac:dyDescent="0.25">
      <c r="B109" s="48"/>
      <c r="C109" s="49"/>
      <c r="D109" s="100"/>
      <c r="E109" s="41"/>
      <c r="F109" s="40"/>
      <c r="G109" s="40"/>
      <c r="H109" s="40"/>
    </row>
    <row r="110" spans="2:8" x14ac:dyDescent="0.25">
      <c r="B110" s="48"/>
      <c r="C110" s="49"/>
      <c r="D110" s="100"/>
      <c r="E110" s="41"/>
      <c r="F110" s="40"/>
      <c r="G110" s="40"/>
      <c r="H110" s="40"/>
    </row>
    <row r="111" spans="2:8" x14ac:dyDescent="0.25">
      <c r="B111" s="48"/>
      <c r="C111" s="49"/>
      <c r="D111" s="100"/>
      <c r="E111" s="41"/>
      <c r="F111" s="40"/>
      <c r="G111" s="40"/>
      <c r="H111" s="40"/>
    </row>
    <row r="112" spans="2:8" x14ac:dyDescent="0.25">
      <c r="B112" s="48"/>
      <c r="C112" s="49"/>
      <c r="D112" s="100"/>
      <c r="E112" s="41"/>
      <c r="F112" s="40"/>
      <c r="G112" s="40"/>
      <c r="H112" s="40"/>
    </row>
    <row r="113" spans="2:8" x14ac:dyDescent="0.25">
      <c r="B113" s="48"/>
      <c r="C113" s="49"/>
      <c r="D113" s="100"/>
      <c r="E113" s="41"/>
      <c r="F113" s="40"/>
      <c r="G113" s="40"/>
      <c r="H113" s="40"/>
    </row>
    <row r="114" spans="2:8" x14ac:dyDescent="0.25">
      <c r="B114" s="48"/>
      <c r="C114" s="49"/>
      <c r="D114" s="100"/>
      <c r="E114" s="41"/>
      <c r="F114" s="40"/>
      <c r="G114" s="40"/>
      <c r="H114" s="40"/>
    </row>
    <row r="115" spans="2:8" x14ac:dyDescent="0.25">
      <c r="B115" s="48"/>
      <c r="C115" s="49"/>
      <c r="D115" s="100"/>
      <c r="E115" s="41"/>
      <c r="F115" s="40"/>
      <c r="G115" s="40"/>
      <c r="H115" s="40"/>
    </row>
    <row r="116" spans="2:8" x14ac:dyDescent="0.25">
      <c r="B116" s="48"/>
      <c r="C116" s="49"/>
      <c r="D116" s="100"/>
      <c r="E116" s="41"/>
      <c r="F116" s="40"/>
      <c r="G116" s="40"/>
      <c r="H116" s="40"/>
    </row>
    <row r="117" spans="2:8" x14ac:dyDescent="0.25">
      <c r="B117" s="48"/>
      <c r="C117" s="49"/>
      <c r="D117" s="100"/>
      <c r="E117" s="41"/>
      <c r="F117" s="40"/>
      <c r="G117" s="40"/>
      <c r="H117" s="40"/>
    </row>
    <row r="118" spans="2:8" x14ac:dyDescent="0.25">
      <c r="B118" s="48"/>
      <c r="C118" s="49"/>
      <c r="D118" s="100"/>
      <c r="E118" s="41"/>
      <c r="F118" s="40"/>
      <c r="G118" s="40"/>
      <c r="H118" s="40"/>
    </row>
    <row r="119" spans="2:8" x14ac:dyDescent="0.25">
      <c r="B119" s="48"/>
      <c r="C119" s="49"/>
      <c r="D119" s="100"/>
      <c r="E119" s="41"/>
      <c r="F119" s="40"/>
      <c r="G119" s="40"/>
      <c r="H119" s="40"/>
    </row>
    <row r="120" spans="2:8" x14ac:dyDescent="0.25">
      <c r="B120" s="48"/>
      <c r="C120" s="49"/>
      <c r="D120" s="100"/>
      <c r="E120" s="41"/>
      <c r="F120" s="40"/>
      <c r="G120" s="40"/>
      <c r="H120" s="40"/>
    </row>
    <row r="121" spans="2:8" x14ac:dyDescent="0.25">
      <c r="B121" s="48"/>
      <c r="C121" s="49"/>
      <c r="D121" s="100"/>
      <c r="E121" s="41"/>
      <c r="F121" s="40"/>
      <c r="G121" s="40"/>
      <c r="H121" s="40"/>
    </row>
    <row r="122" spans="2:8" x14ac:dyDescent="0.25">
      <c r="B122" s="48"/>
      <c r="C122" s="49"/>
      <c r="D122" s="100"/>
      <c r="E122" s="41"/>
      <c r="F122" s="40"/>
      <c r="G122" s="40"/>
      <c r="H122" s="40"/>
    </row>
    <row r="123" spans="2:8" x14ac:dyDescent="0.25">
      <c r="B123" s="48"/>
      <c r="C123" s="49"/>
      <c r="D123" s="100"/>
      <c r="E123" s="41"/>
      <c r="F123" s="40"/>
      <c r="G123" s="40"/>
      <c r="H123" s="40"/>
    </row>
    <row r="124" spans="2:8" x14ac:dyDescent="0.25">
      <c r="B124" s="48"/>
      <c r="C124" s="49"/>
      <c r="D124" s="100"/>
      <c r="E124" s="41"/>
      <c r="F124" s="40"/>
      <c r="G124" s="40"/>
      <c r="H124" s="40"/>
    </row>
    <row r="125" spans="2:8" x14ac:dyDescent="0.25">
      <c r="B125" s="48"/>
      <c r="C125" s="49"/>
      <c r="D125" s="100"/>
      <c r="E125" s="41"/>
      <c r="F125" s="40"/>
      <c r="G125" s="40"/>
      <c r="H125" s="40"/>
    </row>
    <row r="126" spans="2:8" x14ac:dyDescent="0.25">
      <c r="B126" s="48"/>
      <c r="C126" s="49"/>
      <c r="D126" s="100"/>
      <c r="E126" s="41"/>
      <c r="F126" s="40"/>
      <c r="G126" s="40"/>
      <c r="H126" s="40"/>
    </row>
    <row r="127" spans="2:8" x14ac:dyDescent="0.25">
      <c r="B127" s="48"/>
      <c r="C127" s="49"/>
      <c r="D127" s="100"/>
      <c r="E127" s="41"/>
      <c r="F127" s="40"/>
      <c r="G127" s="40"/>
      <c r="H127" s="40"/>
    </row>
    <row r="128" spans="2:8" x14ac:dyDescent="0.25">
      <c r="B128" s="48"/>
      <c r="C128" s="49"/>
      <c r="D128" s="100"/>
      <c r="E128" s="41"/>
      <c r="F128" s="40"/>
      <c r="G128" s="40"/>
      <c r="H128" s="40"/>
    </row>
    <row r="129" spans="2:8" x14ac:dyDescent="0.25">
      <c r="B129" s="48"/>
      <c r="C129" s="49"/>
      <c r="D129" s="100"/>
      <c r="E129" s="41"/>
      <c r="F129" s="40"/>
      <c r="G129" s="40"/>
      <c r="H129" s="40"/>
    </row>
    <row r="130" spans="2:8" x14ac:dyDescent="0.25">
      <c r="B130" s="48"/>
      <c r="C130" s="49"/>
      <c r="D130" s="100"/>
      <c r="E130" s="41"/>
      <c r="F130" s="40"/>
      <c r="G130" s="40"/>
      <c r="H130" s="40"/>
    </row>
    <row r="131" spans="2:8" x14ac:dyDescent="0.25">
      <c r="B131" s="48"/>
      <c r="C131" s="49"/>
      <c r="D131" s="100"/>
      <c r="E131" s="41"/>
      <c r="F131" s="40"/>
      <c r="G131" s="40"/>
      <c r="H131" s="40"/>
    </row>
    <row r="132" spans="2:8" x14ac:dyDescent="0.25">
      <c r="B132" s="48"/>
      <c r="C132" s="49"/>
      <c r="D132" s="100"/>
      <c r="E132" s="41"/>
      <c r="F132" s="40"/>
      <c r="G132" s="40"/>
      <c r="H132" s="40"/>
    </row>
    <row r="133" spans="2:8" x14ac:dyDescent="0.25">
      <c r="B133" s="48"/>
      <c r="C133" s="49"/>
      <c r="D133" s="100"/>
      <c r="E133" s="41"/>
      <c r="F133" s="40"/>
      <c r="G133" s="40"/>
      <c r="H133" s="40"/>
    </row>
    <row r="134" spans="2:8" x14ac:dyDescent="0.25">
      <c r="B134" s="48"/>
      <c r="C134" s="49"/>
      <c r="D134" s="100"/>
      <c r="E134" s="41"/>
      <c r="F134" s="40"/>
      <c r="G134" s="40"/>
      <c r="H134" s="40"/>
    </row>
    <row r="135" spans="2:8" x14ac:dyDescent="0.25">
      <c r="B135" s="48"/>
      <c r="C135" s="49"/>
      <c r="D135" s="100"/>
      <c r="E135" s="41"/>
      <c r="F135" s="40"/>
      <c r="G135" s="40"/>
      <c r="H135" s="40"/>
    </row>
    <row r="136" spans="2:8" x14ac:dyDescent="0.25">
      <c r="B136" s="48"/>
      <c r="C136" s="49"/>
      <c r="D136" s="100"/>
      <c r="E136" s="41"/>
      <c r="F136" s="40"/>
      <c r="G136" s="40"/>
      <c r="H136" s="40"/>
    </row>
    <row r="137" spans="2:8" x14ac:dyDescent="0.25">
      <c r="B137" s="48"/>
      <c r="C137" s="49"/>
      <c r="D137" s="100"/>
      <c r="E137" s="41"/>
      <c r="F137" s="40"/>
      <c r="G137" s="40"/>
      <c r="H137" s="40"/>
    </row>
    <row r="138" spans="2:8" x14ac:dyDescent="0.25">
      <c r="B138" s="48"/>
      <c r="C138" s="49"/>
      <c r="D138" s="100"/>
      <c r="E138" s="41"/>
      <c r="F138" s="40"/>
      <c r="G138" s="40"/>
      <c r="H138" s="40"/>
    </row>
    <row r="139" spans="2:8" x14ac:dyDescent="0.25">
      <c r="B139" s="48"/>
      <c r="C139" s="49"/>
      <c r="D139" s="100"/>
      <c r="E139" s="41"/>
      <c r="F139" s="40"/>
      <c r="G139" s="40"/>
      <c r="H139" s="40"/>
    </row>
    <row r="140" spans="2:8" x14ac:dyDescent="0.25">
      <c r="B140" s="48"/>
      <c r="C140" s="49"/>
      <c r="D140" s="100"/>
      <c r="E140" s="41"/>
      <c r="F140" s="40"/>
      <c r="G140" s="40"/>
      <c r="H140" s="40"/>
    </row>
    <row r="141" spans="2:8" x14ac:dyDescent="0.25">
      <c r="B141" s="48"/>
      <c r="C141" s="49"/>
      <c r="D141" s="100"/>
      <c r="E141" s="41"/>
      <c r="F141" s="40"/>
      <c r="G141" s="40"/>
      <c r="H141" s="40"/>
    </row>
    <row r="142" spans="2:8" x14ac:dyDescent="0.25">
      <c r="B142" s="48"/>
      <c r="C142" s="49"/>
      <c r="D142" s="100"/>
      <c r="E142" s="41"/>
      <c r="F142" s="40"/>
      <c r="G142" s="40"/>
      <c r="H142" s="40"/>
    </row>
    <row r="143" spans="2:8" x14ac:dyDescent="0.25">
      <c r="B143" s="48"/>
      <c r="C143" s="49"/>
      <c r="D143" s="100"/>
      <c r="E143" s="41"/>
      <c r="F143" s="40"/>
      <c r="G143" s="40"/>
      <c r="H143" s="40"/>
    </row>
    <row r="144" spans="2:8" x14ac:dyDescent="0.25">
      <c r="B144" s="48"/>
      <c r="C144" s="49"/>
      <c r="D144" s="100"/>
      <c r="E144" s="41"/>
      <c r="F144" s="40"/>
      <c r="G144" s="40"/>
      <c r="H144" s="40"/>
    </row>
    <row r="145" spans="2:8" x14ac:dyDescent="0.25">
      <c r="B145" s="48"/>
      <c r="C145" s="49"/>
      <c r="D145" s="100"/>
      <c r="E145" s="41"/>
      <c r="F145" s="40"/>
      <c r="G145" s="40"/>
      <c r="H145" s="40"/>
    </row>
    <row r="146" spans="2:8" x14ac:dyDescent="0.25">
      <c r="B146" s="48"/>
      <c r="C146" s="49"/>
      <c r="D146" s="100"/>
      <c r="E146" s="41"/>
      <c r="F146" s="40"/>
      <c r="G146" s="40"/>
      <c r="H146" s="40"/>
    </row>
    <row r="147" spans="2:8" x14ac:dyDescent="0.25">
      <c r="B147" s="48"/>
      <c r="C147" s="49"/>
      <c r="D147" s="100"/>
      <c r="E147" s="41"/>
      <c r="F147" s="40"/>
      <c r="G147" s="40"/>
      <c r="H147" s="40"/>
    </row>
    <row r="148" spans="2:8" x14ac:dyDescent="0.25">
      <c r="B148" s="48"/>
      <c r="C148" s="49"/>
      <c r="D148" s="100"/>
      <c r="E148" s="41"/>
      <c r="F148" s="40"/>
      <c r="G148" s="40"/>
      <c r="H148" s="40"/>
    </row>
    <row r="149" spans="2:8" x14ac:dyDescent="0.25">
      <c r="B149" s="48"/>
      <c r="C149" s="49"/>
      <c r="D149" s="100"/>
      <c r="E149" s="41"/>
      <c r="F149" s="40"/>
      <c r="G149" s="40"/>
      <c r="H149" s="40"/>
    </row>
    <row r="150" spans="2:8" x14ac:dyDescent="0.25">
      <c r="B150" s="48"/>
      <c r="C150" s="49"/>
      <c r="D150" s="100"/>
      <c r="E150" s="41"/>
      <c r="F150" s="40"/>
      <c r="G150" s="40"/>
      <c r="H150" s="40"/>
    </row>
    <row r="151" spans="2:8" x14ac:dyDescent="0.25">
      <c r="B151" s="48"/>
      <c r="C151" s="49"/>
      <c r="D151" s="100"/>
      <c r="E151" s="41"/>
      <c r="F151" s="40"/>
      <c r="G151" s="40"/>
      <c r="H151" s="40"/>
    </row>
    <row r="152" spans="2:8" x14ac:dyDescent="0.25">
      <c r="B152" s="48"/>
      <c r="C152" s="49"/>
      <c r="D152" s="100"/>
      <c r="E152" s="41"/>
      <c r="F152" s="40"/>
      <c r="G152" s="40"/>
      <c r="H152" s="40"/>
    </row>
    <row r="153" spans="2:8" x14ac:dyDescent="0.25">
      <c r="B153" s="48"/>
      <c r="C153" s="49"/>
      <c r="D153" s="100"/>
      <c r="E153" s="41"/>
      <c r="F153" s="40"/>
      <c r="G153" s="40"/>
      <c r="H153" s="40"/>
    </row>
    <row r="154" spans="2:8" x14ac:dyDescent="0.25">
      <c r="B154" s="48"/>
      <c r="C154" s="49"/>
      <c r="D154" s="100"/>
      <c r="E154" s="41"/>
      <c r="F154" s="40"/>
      <c r="G154" s="40"/>
      <c r="H154" s="40"/>
    </row>
    <row r="155" spans="2:8" x14ac:dyDescent="0.25">
      <c r="B155" s="48"/>
      <c r="C155" s="49"/>
      <c r="D155" s="100"/>
      <c r="E155" s="41"/>
      <c r="F155" s="40"/>
      <c r="G155" s="40"/>
      <c r="H155" s="40"/>
    </row>
    <row r="156" spans="2:8" x14ac:dyDescent="0.25">
      <c r="B156" s="48"/>
      <c r="C156" s="49"/>
      <c r="D156" s="100"/>
      <c r="E156" s="41"/>
      <c r="F156" s="40"/>
      <c r="G156" s="40"/>
      <c r="H156" s="40"/>
    </row>
    <row r="157" spans="2:8" x14ac:dyDescent="0.25">
      <c r="B157" s="48"/>
      <c r="C157" s="49"/>
      <c r="D157" s="100"/>
      <c r="E157" s="41"/>
      <c r="F157" s="40"/>
      <c r="G157" s="40"/>
      <c r="H157" s="40"/>
    </row>
    <row r="158" spans="2:8" x14ac:dyDescent="0.25">
      <c r="B158" s="48"/>
      <c r="C158" s="49"/>
      <c r="D158" s="100"/>
      <c r="E158" s="41"/>
      <c r="F158" s="40"/>
      <c r="G158" s="40"/>
      <c r="H158" s="40"/>
    </row>
    <row r="159" spans="2:8" x14ac:dyDescent="0.25">
      <c r="B159" s="48"/>
      <c r="C159" s="49"/>
      <c r="D159" s="100"/>
      <c r="E159" s="41"/>
      <c r="F159" s="40"/>
      <c r="G159" s="40"/>
      <c r="H159" s="40"/>
    </row>
    <row r="160" spans="2:8" x14ac:dyDescent="0.25">
      <c r="B160" s="48"/>
      <c r="C160" s="49"/>
      <c r="D160" s="100"/>
      <c r="E160" s="41"/>
      <c r="F160" s="40"/>
      <c r="G160" s="40"/>
      <c r="H160" s="40"/>
    </row>
    <row r="161" spans="2:8" x14ac:dyDescent="0.25">
      <c r="B161" s="48"/>
      <c r="C161" s="49"/>
      <c r="D161" s="100"/>
      <c r="E161" s="41"/>
      <c r="F161" s="40"/>
      <c r="G161" s="40"/>
      <c r="H161" s="40"/>
    </row>
    <row r="162" spans="2:8" x14ac:dyDescent="0.25">
      <c r="B162" s="48"/>
      <c r="C162" s="49"/>
      <c r="D162" s="100"/>
      <c r="E162" s="41"/>
      <c r="F162" s="40"/>
      <c r="G162" s="40"/>
      <c r="H162" s="40"/>
    </row>
    <row r="163" spans="2:8" x14ac:dyDescent="0.25">
      <c r="B163" s="48"/>
      <c r="C163" s="49"/>
      <c r="D163" s="100"/>
      <c r="E163" s="41"/>
      <c r="F163" s="40"/>
      <c r="G163" s="40"/>
      <c r="H163" s="40"/>
    </row>
    <row r="164" spans="2:8" x14ac:dyDescent="0.25">
      <c r="B164" s="48"/>
      <c r="C164" s="49"/>
      <c r="D164" s="100"/>
      <c r="E164" s="41"/>
      <c r="F164" s="40"/>
      <c r="G164" s="40"/>
      <c r="H164" s="40"/>
    </row>
    <row r="165" spans="2:8" x14ac:dyDescent="0.25">
      <c r="B165" s="48"/>
      <c r="C165" s="49"/>
      <c r="D165" s="100"/>
      <c r="E165" s="41"/>
      <c r="F165" s="40"/>
      <c r="G165" s="40"/>
      <c r="H165" s="40"/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2"/>
  <sheetViews>
    <sheetView zoomScale="85" zoomScaleNormal="85" workbookViewId="0">
      <selection sqref="A1:I40"/>
    </sheetView>
  </sheetViews>
  <sheetFormatPr defaultRowHeight="15" x14ac:dyDescent="0.25"/>
  <cols>
    <col min="1" max="1" width="6.28515625" style="42" customWidth="1"/>
    <col min="2" max="2" width="46.85546875" style="84" customWidth="1"/>
    <col min="3" max="3" width="10.5703125" style="42" customWidth="1"/>
    <col min="4" max="4" width="14.28515625" style="79" hidden="1" customWidth="1"/>
    <col min="5" max="5" width="14.28515625" style="79" customWidth="1"/>
    <col min="6" max="6" width="28.28515625" style="79" hidden="1" customWidth="1"/>
    <col min="7" max="7" width="11.85546875" style="47" customWidth="1"/>
    <col min="8" max="8" width="10.28515625" style="74" customWidth="1"/>
    <col min="9" max="9" width="23.28515625" style="81" customWidth="1"/>
    <col min="10" max="10" width="7.7109375" customWidth="1"/>
    <col min="11" max="11" width="10.140625" bestFit="1" customWidth="1"/>
    <col min="12" max="12" width="13.7109375" customWidth="1"/>
    <col min="14" max="14" width="0" hidden="1" customWidth="1"/>
    <col min="15" max="15" width="16.7109375" style="77" hidden="1" customWidth="1"/>
    <col min="16" max="16" width="10.28515625" style="77" hidden="1" customWidth="1"/>
    <col min="17" max="17" width="10.28515625" style="49" hidden="1" customWidth="1"/>
    <col min="18" max="18" width="10.140625" style="40" hidden="1" customWidth="1"/>
    <col min="19" max="19" width="14.7109375" style="40" hidden="1" customWidth="1"/>
    <col min="20" max="20" width="10.140625" style="40" hidden="1" customWidth="1"/>
    <col min="21" max="21" width="13.140625" style="40" hidden="1" customWidth="1"/>
    <col min="22" max="35" width="9.28515625" style="40"/>
  </cols>
  <sheetData>
    <row r="1" spans="1:41" s="45" customFormat="1" ht="15.75" x14ac:dyDescent="0.25">
      <c r="A1" s="413" t="s">
        <v>109</v>
      </c>
      <c r="B1" s="413"/>
      <c r="C1" s="413"/>
      <c r="D1" s="413"/>
      <c r="E1" s="413"/>
      <c r="F1" s="413"/>
      <c r="G1" s="413"/>
      <c r="H1" s="413"/>
      <c r="I1" s="413"/>
      <c r="J1" s="44"/>
      <c r="K1" s="44"/>
      <c r="L1" s="44"/>
      <c r="M1" s="44"/>
      <c r="N1" s="44"/>
      <c r="O1" s="69"/>
      <c r="P1" s="69"/>
      <c r="Q1" s="66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</row>
    <row r="2" spans="1:41" s="45" customFormat="1" ht="45.75" customHeight="1" x14ac:dyDescent="0.25">
      <c r="A2" s="318" t="s">
        <v>86</v>
      </c>
      <c r="B2" s="280" t="s">
        <v>87</v>
      </c>
      <c r="C2" s="318" t="s">
        <v>10</v>
      </c>
      <c r="D2" s="262" t="s">
        <v>647</v>
      </c>
      <c r="E2" s="262" t="s">
        <v>648</v>
      </c>
      <c r="F2" s="262" t="s">
        <v>648</v>
      </c>
      <c r="G2" s="262" t="s">
        <v>88</v>
      </c>
      <c r="H2" s="290" t="s">
        <v>646</v>
      </c>
      <c r="I2" s="318" t="s">
        <v>636</v>
      </c>
      <c r="J2" s="44"/>
      <c r="K2" s="44"/>
      <c r="L2" s="44"/>
      <c r="M2" s="44"/>
      <c r="N2" s="44"/>
      <c r="O2" s="69"/>
      <c r="P2" s="69"/>
      <c r="Q2" s="66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</row>
    <row r="3" spans="1:41" s="63" customFormat="1" ht="15.75" x14ac:dyDescent="0.25">
      <c r="A3" s="318"/>
      <c r="B3" s="280" t="s">
        <v>108</v>
      </c>
      <c r="C3" s="318"/>
      <c r="D3" s="281">
        <v>7232762.9500000002</v>
      </c>
      <c r="E3" s="281"/>
      <c r="F3" s="281">
        <f>+D3/10000</f>
        <v>723.276295</v>
      </c>
      <c r="G3" s="281">
        <v>100</v>
      </c>
      <c r="H3" s="282">
        <f>+H4</f>
        <v>47400</v>
      </c>
      <c r="I3" s="327"/>
      <c r="J3" s="62"/>
      <c r="K3" s="62"/>
      <c r="L3" s="75">
        <v>37916</v>
      </c>
      <c r="M3" s="62"/>
      <c r="N3" s="62"/>
      <c r="O3" s="75"/>
      <c r="P3" s="75"/>
      <c r="Q3" s="67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</row>
    <row r="4" spans="1:41" s="61" customFormat="1" ht="15.75" x14ac:dyDescent="0.25">
      <c r="A4" s="318" t="s">
        <v>606</v>
      </c>
      <c r="B4" s="280" t="s">
        <v>627</v>
      </c>
      <c r="C4" s="318"/>
      <c r="D4" s="281">
        <f>+D5+D15+D16+D17</f>
        <v>3686845.4</v>
      </c>
      <c r="E4" s="281">
        <f>+D4/10000</f>
        <v>368.68453999999997</v>
      </c>
      <c r="F4" s="281">
        <f>+F5+F15+F16+F17</f>
        <v>368.04269999999991</v>
      </c>
      <c r="G4" s="281">
        <f t="shared" ref="G4:G39" si="0">+F4/$F$3*100</f>
        <v>50.885491829923716</v>
      </c>
      <c r="H4" s="282">
        <f>ROUND(+H6+H10,-1)</f>
        <v>47400</v>
      </c>
      <c r="I4" s="327"/>
      <c r="J4" s="60"/>
      <c r="K4" s="60"/>
      <c r="L4" s="60"/>
      <c r="M4" s="60"/>
      <c r="N4" s="60"/>
      <c r="O4" s="76"/>
      <c r="P4" s="76"/>
      <c r="Q4" s="64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</row>
    <row r="5" spans="1:41" s="45" customFormat="1" ht="15.75" x14ac:dyDescent="0.25">
      <c r="A5" s="274">
        <v>1</v>
      </c>
      <c r="B5" s="323" t="s">
        <v>593</v>
      </c>
      <c r="C5" s="274"/>
      <c r="D5" s="328">
        <f>+D6+D10+D11+D12+D13+D14</f>
        <v>3310710.56</v>
      </c>
      <c r="E5" s="328">
        <f t="shared" ref="E5:E40" si="1">+D5/10000</f>
        <v>331.071056</v>
      </c>
      <c r="F5" s="328">
        <f>+F6+F10+F11+F12+F13+F14</f>
        <v>332.19509999999991</v>
      </c>
      <c r="G5" s="328">
        <f t="shared" si="0"/>
        <v>45.929211602324102</v>
      </c>
      <c r="H5" s="329"/>
      <c r="I5" s="274"/>
      <c r="J5" s="87"/>
      <c r="K5" s="58">
        <f>+F3-F25-F21-F32</f>
        <v>582.96689499999991</v>
      </c>
      <c r="L5" s="44"/>
      <c r="N5" s="44"/>
      <c r="O5" s="138" t="s">
        <v>650</v>
      </c>
      <c r="P5" s="138"/>
      <c r="Q5" s="80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</row>
    <row r="6" spans="1:41" s="45" customFormat="1" ht="15.75" x14ac:dyDescent="0.25">
      <c r="A6" s="274" t="s">
        <v>31</v>
      </c>
      <c r="B6" s="323" t="s">
        <v>89</v>
      </c>
      <c r="C6" s="323"/>
      <c r="D6" s="330">
        <f>+D7+D8+D9</f>
        <v>1247871.98</v>
      </c>
      <c r="E6" s="330">
        <f>+E7+E8+E9</f>
        <v>124.78719799999999</v>
      </c>
      <c r="F6" s="330">
        <f>+F7+F8+F9</f>
        <v>124.58250000000001</v>
      </c>
      <c r="G6" s="328">
        <f t="shared" si="0"/>
        <v>17.224745351290686</v>
      </c>
      <c r="H6" s="331">
        <f>+'[1]CHI TIẾT'!K7+'[1]CHI TIẾT'!K86+'[1]CHI TIẾT'!K189+'[1]CHI TIẾT'!K333</f>
        <v>33811.607142857145</v>
      </c>
      <c r="I6" s="323"/>
      <c r="L6" s="59"/>
      <c r="N6" s="59"/>
      <c r="O6" s="138">
        <v>40</v>
      </c>
      <c r="P6" s="138">
        <v>1000</v>
      </c>
      <c r="Q6" s="138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</row>
    <row r="7" spans="1:41" s="45" customFormat="1" ht="15.75" x14ac:dyDescent="0.25">
      <c r="A7" s="272" t="s">
        <v>13</v>
      </c>
      <c r="B7" s="324" t="s">
        <v>706</v>
      </c>
      <c r="C7" s="272" t="s">
        <v>73</v>
      </c>
      <c r="D7" s="332">
        <v>1158112.3999999999</v>
      </c>
      <c r="E7" s="332">
        <f>+D7/10000</f>
        <v>115.81123999999998</v>
      </c>
      <c r="F7" s="333">
        <f>+'[1]CHI TIẾT'!D8+'[1]CHI TIẾT'!D87+'[1]CHI TIẾT'!D190+'[1]CHI TIẾT'!D334</f>
        <v>115.60480000000001</v>
      </c>
      <c r="G7" s="332">
        <f t="shared" si="0"/>
        <v>15.983490790334834</v>
      </c>
      <c r="H7" s="299"/>
      <c r="I7" s="274"/>
      <c r="L7" s="59"/>
      <c r="N7" s="59"/>
      <c r="O7" s="138">
        <f>+P7*O6/P6</f>
        <v>1516.64</v>
      </c>
      <c r="P7" s="138">
        <f>+L3</f>
        <v>37916</v>
      </c>
      <c r="Q7" s="138">
        <f>+O7*10</f>
        <v>15166.400000000001</v>
      </c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</row>
    <row r="8" spans="1:41" s="45" customFormat="1" ht="15.75" x14ac:dyDescent="0.25">
      <c r="A8" s="272" t="s">
        <v>42</v>
      </c>
      <c r="B8" s="324" t="s">
        <v>37</v>
      </c>
      <c r="C8" s="272" t="s">
        <v>22</v>
      </c>
      <c r="D8" s="332">
        <v>56962.33</v>
      </c>
      <c r="E8" s="332">
        <f>+D8/10000</f>
        <v>5.6962330000000003</v>
      </c>
      <c r="F8" s="332">
        <f>+'[1]CHI TIẾT'!D201</f>
        <v>5.6960999999999995</v>
      </c>
      <c r="G8" s="332">
        <f t="shared" si="0"/>
        <v>0.78754136412005593</v>
      </c>
      <c r="H8" s="331"/>
      <c r="I8" s="274"/>
      <c r="J8" s="44"/>
      <c r="K8" s="44"/>
      <c r="L8" s="44"/>
      <c r="M8" s="44"/>
      <c r="N8" s="44"/>
      <c r="O8" s="44"/>
      <c r="P8" s="69"/>
      <c r="Q8" s="66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</row>
    <row r="9" spans="1:41" s="45" customFormat="1" ht="15.75" x14ac:dyDescent="0.25">
      <c r="A9" s="272" t="s">
        <v>734</v>
      </c>
      <c r="B9" s="324" t="s">
        <v>725</v>
      </c>
      <c r="C9" s="272" t="s">
        <v>78</v>
      </c>
      <c r="D9" s="332">
        <v>32797.25</v>
      </c>
      <c r="E9" s="332">
        <f>+D9/10000</f>
        <v>3.279725</v>
      </c>
      <c r="F9" s="332">
        <f>+'[1]CHI TIẾT'!D205+'[1]CHI TIẾT'!D348</f>
        <v>3.2816000000000001</v>
      </c>
      <c r="G9" s="332">
        <f t="shared" si="0"/>
        <v>0.45371319683579558</v>
      </c>
      <c r="H9" s="331"/>
      <c r="I9" s="274"/>
      <c r="J9" s="44"/>
      <c r="K9" s="44"/>
      <c r="L9" s="44"/>
      <c r="M9" s="44"/>
      <c r="N9" s="44"/>
      <c r="O9" s="44"/>
      <c r="P9" s="69"/>
      <c r="Q9" s="66"/>
      <c r="R9" s="44"/>
      <c r="S9" s="43" t="s">
        <v>710</v>
      </c>
      <c r="T9" s="57"/>
      <c r="U9" s="57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</row>
    <row r="10" spans="1:41" s="72" customFormat="1" ht="15.75" x14ac:dyDescent="0.25">
      <c r="A10" s="274" t="s">
        <v>24</v>
      </c>
      <c r="B10" s="323" t="s">
        <v>90</v>
      </c>
      <c r="C10" s="272" t="s">
        <v>110</v>
      </c>
      <c r="D10" s="333">
        <v>1823151.86</v>
      </c>
      <c r="E10" s="333">
        <f t="shared" si="1"/>
        <v>182.31518600000001</v>
      </c>
      <c r="F10" s="332">
        <f>+'[1]CHI TIẾT'!D14+'[1]CHI TIẾT'!D106+'[1]CHI TIẾT'!D208+'[1]CHI TIẾT'!D350</f>
        <v>183.76319999999998</v>
      </c>
      <c r="G10" s="332">
        <f t="shared" si="0"/>
        <v>25.407054160402144</v>
      </c>
      <c r="H10" s="331">
        <f>+'[1]CHI TIẾT'!K14+'[1]CHI TIẾT'!K106+'[1]CHI TIẾT'!K208+'[1]CHI TIẾT'!K350</f>
        <v>13588.940387403705</v>
      </c>
      <c r="I10" s="334"/>
      <c r="J10" s="70"/>
      <c r="K10" s="70"/>
      <c r="L10" s="70">
        <v>144.29</v>
      </c>
      <c r="M10" s="71">
        <v>10508</v>
      </c>
      <c r="N10" s="70"/>
      <c r="O10" s="138" t="s">
        <v>652</v>
      </c>
      <c r="P10" s="136"/>
      <c r="Q10" s="137"/>
      <c r="R10" s="70"/>
      <c r="S10" s="43">
        <v>65</v>
      </c>
      <c r="T10" s="138">
        <v>1000</v>
      </c>
      <c r="U10" s="43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</row>
    <row r="11" spans="1:41" s="45" customFormat="1" ht="15.75" x14ac:dyDescent="0.25">
      <c r="A11" s="274" t="s">
        <v>23</v>
      </c>
      <c r="B11" s="323" t="s">
        <v>629</v>
      </c>
      <c r="C11" s="272" t="s">
        <v>113</v>
      </c>
      <c r="D11" s="332">
        <v>132863.04000000001</v>
      </c>
      <c r="E11" s="328">
        <f t="shared" si="1"/>
        <v>13.286304000000001</v>
      </c>
      <c r="F11" s="332">
        <f>+'[1]CHI TIẾT'!D35+'[1]CHI TIẾT'!D125+'[1]CHI TIẾT'!D239</f>
        <v>13.166299999999998</v>
      </c>
      <c r="G11" s="332">
        <f t="shared" si="0"/>
        <v>1.8203693513832082</v>
      </c>
      <c r="H11" s="331"/>
      <c r="I11" s="274"/>
      <c r="J11" s="44"/>
      <c r="K11" s="44"/>
      <c r="L11" s="59">
        <f>423067.71/10000</f>
        <v>42.306771000000005</v>
      </c>
      <c r="M11" s="71">
        <f>+L11*M10/L10</f>
        <v>3081.0142745027379</v>
      </c>
      <c r="N11" s="44"/>
      <c r="O11" s="138">
        <v>50</v>
      </c>
      <c r="P11" s="138">
        <v>1000</v>
      </c>
      <c r="Q11" s="99"/>
      <c r="R11" s="44"/>
      <c r="S11" s="138">
        <f>+T11*S10/T10</f>
        <v>2464.54</v>
      </c>
      <c r="T11" s="138">
        <f>+L3</f>
        <v>37916</v>
      </c>
      <c r="U11" s="80">
        <f>+S11*10</f>
        <v>24645.4</v>
      </c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</row>
    <row r="12" spans="1:41" s="86" customFormat="1" ht="15.75" x14ac:dyDescent="0.25">
      <c r="A12" s="274" t="s">
        <v>43</v>
      </c>
      <c r="B12" s="323" t="s">
        <v>628</v>
      </c>
      <c r="C12" s="272" t="s">
        <v>121</v>
      </c>
      <c r="D12" s="332">
        <v>86066.83</v>
      </c>
      <c r="E12" s="328">
        <f t="shared" si="1"/>
        <v>8.6066830000000003</v>
      </c>
      <c r="F12" s="332">
        <f>+'[1]CHI TIẾT'!D36+'[1]CHI TIẾT'!D130+'[1]CHI TIẾT'!D243+'[1]CHI TIẾT'!D369</f>
        <v>8.6030999999999995</v>
      </c>
      <c r="G12" s="332">
        <f t="shared" si="0"/>
        <v>1.1894624584647835</v>
      </c>
      <c r="H12" s="331"/>
      <c r="I12" s="335"/>
      <c r="J12" s="85"/>
      <c r="K12" s="85"/>
      <c r="L12" s="85"/>
      <c r="M12" s="85"/>
      <c r="N12" s="85"/>
      <c r="O12" s="138">
        <f>+P12*O11/P11</f>
        <v>1895.8</v>
      </c>
      <c r="P12" s="138">
        <f>+L3</f>
        <v>37916</v>
      </c>
      <c r="Q12" s="99">
        <f>+O12*12</f>
        <v>22749.599999999999</v>
      </c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</row>
    <row r="13" spans="1:41" s="45" customFormat="1" ht="15.75" x14ac:dyDescent="0.25">
      <c r="A13" s="274" t="s">
        <v>735</v>
      </c>
      <c r="B13" s="323" t="s">
        <v>91</v>
      </c>
      <c r="C13" s="272" t="s">
        <v>111</v>
      </c>
      <c r="D13" s="332">
        <v>19457.060000000001</v>
      </c>
      <c r="E13" s="328">
        <f t="shared" si="1"/>
        <v>1.9457060000000002</v>
      </c>
      <c r="F13" s="332">
        <f>+'[1]CHI TIẾT'!D38+'[1]CHI TIẾT'!D136+'[1]CHI TIẾT'!D249+'[1]CHI TIẾT'!D373</f>
        <v>1.95</v>
      </c>
      <c r="G13" s="332">
        <f t="shared" si="0"/>
        <v>0.26960651323433737</v>
      </c>
      <c r="H13" s="331"/>
      <c r="I13" s="335"/>
      <c r="J13" s="44"/>
      <c r="K13" s="82">
        <f>+S11+S16+O12</f>
        <v>6445.72</v>
      </c>
      <c r="L13" s="44"/>
      <c r="M13" s="69">
        <f>+M10+M11</f>
        <v>13589.014274502737</v>
      </c>
      <c r="N13" s="44"/>
      <c r="O13" s="69"/>
      <c r="P13" s="69"/>
      <c r="Q13" s="66"/>
      <c r="R13" s="44"/>
      <c r="S13" s="43" t="s">
        <v>654</v>
      </c>
      <c r="T13" s="43"/>
      <c r="U13" s="43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</row>
    <row r="14" spans="1:41" s="45" customFormat="1" ht="15.75" x14ac:dyDescent="0.25">
      <c r="A14" s="274" t="s">
        <v>815</v>
      </c>
      <c r="B14" s="323" t="s">
        <v>47</v>
      </c>
      <c r="C14" s="272" t="s">
        <v>77</v>
      </c>
      <c r="D14" s="332">
        <v>1299.79</v>
      </c>
      <c r="E14" s="328">
        <f t="shared" si="1"/>
        <v>0.12997899999999998</v>
      </c>
      <c r="F14" s="332">
        <f>+'[1]CHI TIẾT'!D372</f>
        <v>0.13</v>
      </c>
      <c r="G14" s="332">
        <f t="shared" si="0"/>
        <v>1.7973767548955823E-2</v>
      </c>
      <c r="H14" s="331"/>
      <c r="I14" s="335"/>
      <c r="J14" s="44"/>
      <c r="K14" s="82"/>
      <c r="L14" s="44"/>
      <c r="M14" s="69">
        <f>+M13+H6</f>
        <v>47400.621417359886</v>
      </c>
      <c r="N14" s="44"/>
      <c r="O14" s="69"/>
      <c r="P14" s="69"/>
      <c r="Q14" s="66"/>
      <c r="R14" s="44"/>
      <c r="S14" s="43"/>
      <c r="T14" s="43"/>
      <c r="U14" s="43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</row>
    <row r="15" spans="1:41" s="45" customFormat="1" ht="15.75" x14ac:dyDescent="0.25">
      <c r="A15" s="274">
        <v>2</v>
      </c>
      <c r="B15" s="323" t="s">
        <v>633</v>
      </c>
      <c r="C15" s="274" t="s">
        <v>74</v>
      </c>
      <c r="D15" s="328">
        <v>15530.92</v>
      </c>
      <c r="E15" s="328">
        <f t="shared" si="1"/>
        <v>1.5530919999999999</v>
      </c>
      <c r="F15" s="328">
        <f>+'[1]CHI TIẾT'!D140</f>
        <v>1.55</v>
      </c>
      <c r="G15" s="328">
        <f t="shared" si="0"/>
        <v>0.21430261308370405</v>
      </c>
      <c r="H15" s="329"/>
      <c r="I15" s="274"/>
      <c r="J15" s="44"/>
      <c r="L15" s="44" t="s">
        <v>832</v>
      </c>
      <c r="M15" s="69">
        <v>16680</v>
      </c>
      <c r="N15" s="44"/>
      <c r="O15" s="44"/>
      <c r="P15" s="69"/>
      <c r="Q15" s="44"/>
      <c r="R15" s="44"/>
      <c r="S15" s="43">
        <v>55</v>
      </c>
      <c r="T15" s="138">
        <v>1000</v>
      </c>
      <c r="U15" s="43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</row>
    <row r="16" spans="1:41" s="45" customFormat="1" ht="15.75" x14ac:dyDescent="0.25">
      <c r="A16" s="274">
        <v>3</v>
      </c>
      <c r="B16" s="323" t="s">
        <v>632</v>
      </c>
      <c r="C16" s="274" t="s">
        <v>75</v>
      </c>
      <c r="D16" s="328">
        <v>319484.87</v>
      </c>
      <c r="E16" s="328">
        <f t="shared" si="1"/>
        <v>31.948487</v>
      </c>
      <c r="F16" s="328">
        <f>+'[1]CHI TIẾT'!D41+'[1]CHI TIẾT'!D142+'[1]CHI TIẾT'!D253+'[1]CHI TIẾT'!D374</f>
        <v>30.184299999999993</v>
      </c>
      <c r="G16" s="328">
        <f t="shared" si="0"/>
        <v>4.1732737832919007</v>
      </c>
      <c r="H16" s="329"/>
      <c r="I16" s="274"/>
      <c r="J16" s="44"/>
      <c r="K16" s="44"/>
      <c r="M16" s="69"/>
      <c r="N16" s="44"/>
      <c r="O16" s="69"/>
      <c r="P16" s="69"/>
      <c r="Q16" s="58">
        <f>+Q12+U11+U16</f>
        <v>68248.800000000003</v>
      </c>
      <c r="R16" s="44"/>
      <c r="S16" s="138">
        <f>+T16*S15/T15</f>
        <v>2085.38</v>
      </c>
      <c r="T16" s="138">
        <f>+L3</f>
        <v>37916</v>
      </c>
      <c r="U16" s="80">
        <f>+S16*10</f>
        <v>20853.800000000003</v>
      </c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</row>
    <row r="17" spans="1:41" s="45" customFormat="1" ht="15.75" x14ac:dyDescent="0.25">
      <c r="A17" s="274">
        <v>4</v>
      </c>
      <c r="B17" s="323" t="s">
        <v>631</v>
      </c>
      <c r="C17" s="274" t="s">
        <v>7</v>
      </c>
      <c r="D17" s="328">
        <v>41119.050000000003</v>
      </c>
      <c r="E17" s="328">
        <f t="shared" si="1"/>
        <v>4.1119050000000001</v>
      </c>
      <c r="F17" s="328">
        <f>+'[1]CHI TIẾT'!D147+'[1]CHI TIẾT'!D257+'[1]CHI TIẾT'!D378</f>
        <v>4.1132999999999997</v>
      </c>
      <c r="G17" s="328">
        <f t="shared" si="0"/>
        <v>0.56870383122399992</v>
      </c>
      <c r="H17" s="329"/>
      <c r="I17" s="27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</row>
    <row r="18" spans="1:41" s="61" customFormat="1" ht="15.75" x14ac:dyDescent="0.25">
      <c r="A18" s="318" t="s">
        <v>607</v>
      </c>
      <c r="B18" s="280" t="s">
        <v>634</v>
      </c>
      <c r="C18" s="318"/>
      <c r="D18" s="281">
        <f>SUM(D19:D32)</f>
        <v>2342634.2200000002</v>
      </c>
      <c r="E18" s="281">
        <f t="shared" si="1"/>
        <v>234.26342200000002</v>
      </c>
      <c r="F18" s="281">
        <f>+SUM(F19:F32)</f>
        <v>233.89170000000001</v>
      </c>
      <c r="G18" s="281">
        <f t="shared" si="0"/>
        <v>32.337808057154703</v>
      </c>
      <c r="H18" s="282"/>
      <c r="I18" s="327"/>
      <c r="J18" s="60"/>
      <c r="K18" s="60"/>
      <c r="L18" s="64"/>
      <c r="M18" s="60"/>
      <c r="N18" s="60"/>
      <c r="O18" s="76"/>
      <c r="P18" s="76"/>
      <c r="Q18" s="64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</row>
    <row r="19" spans="1:41" s="45" customFormat="1" ht="15.75" x14ac:dyDescent="0.25">
      <c r="A19" s="274">
        <v>1</v>
      </c>
      <c r="B19" s="323" t="s">
        <v>47</v>
      </c>
      <c r="C19" s="274" t="s">
        <v>77</v>
      </c>
      <c r="D19" s="328">
        <v>372683.94</v>
      </c>
      <c r="E19" s="328">
        <f t="shared" si="1"/>
        <v>37.268394000000001</v>
      </c>
      <c r="F19" s="328">
        <f>+'[1]CHI TIẾT'!D48+'[1]CHI TIẾT'!D271</f>
        <v>36.96</v>
      </c>
      <c r="G19" s="328">
        <f t="shared" si="0"/>
        <v>5.1100803739185174</v>
      </c>
      <c r="H19" s="329"/>
      <c r="I19" s="327"/>
      <c r="J19" s="44"/>
      <c r="K19" s="44"/>
      <c r="L19" s="44"/>
      <c r="M19" s="44"/>
      <c r="N19" s="44"/>
      <c r="O19" s="69"/>
      <c r="P19" s="69"/>
      <c r="Q19" s="66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</row>
    <row r="20" spans="1:41" s="45" customFormat="1" ht="15.75" x14ac:dyDescent="0.25">
      <c r="A20" s="274">
        <v>2</v>
      </c>
      <c r="B20" s="323" t="s">
        <v>92</v>
      </c>
      <c r="C20" s="274" t="s">
        <v>112</v>
      </c>
      <c r="D20" s="336">
        <v>51517.63</v>
      </c>
      <c r="E20" s="336">
        <f t="shared" si="1"/>
        <v>5.1517629999999999</v>
      </c>
      <c r="F20" s="336">
        <f>+'[1]CHI TIẾT'!D51+'[1]CHI TIẾT'!D152+'[1]CHI TIẾT'!D382</f>
        <v>4.3100000000000005</v>
      </c>
      <c r="G20" s="328">
        <f t="shared" si="0"/>
        <v>0.5958995241230739</v>
      </c>
      <c r="H20" s="329"/>
      <c r="I20" s="327"/>
      <c r="J20" s="44"/>
      <c r="K20" s="44"/>
      <c r="L20" s="44"/>
      <c r="M20" s="44"/>
      <c r="N20" s="44"/>
      <c r="O20" s="69" t="s">
        <v>652</v>
      </c>
      <c r="P20" s="69"/>
      <c r="Q20" s="66"/>
      <c r="R20" s="66">
        <v>18367.36</v>
      </c>
      <c r="S20" s="66"/>
      <c r="T20" s="66">
        <f>+R20</f>
        <v>18367.36</v>
      </c>
      <c r="U20" s="66">
        <f>+T20/O12</f>
        <v>9.6884481485388765</v>
      </c>
      <c r="V20" s="66"/>
      <c r="W20" s="66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</row>
    <row r="21" spans="1:41" s="45" customFormat="1" ht="15.75" x14ac:dyDescent="0.25">
      <c r="A21" s="274">
        <v>3</v>
      </c>
      <c r="B21" s="323" t="s">
        <v>96</v>
      </c>
      <c r="C21" s="274" t="s">
        <v>6</v>
      </c>
      <c r="D21" s="328">
        <v>479003.86</v>
      </c>
      <c r="E21" s="328">
        <f t="shared" si="1"/>
        <v>47.900385999999997</v>
      </c>
      <c r="F21" s="328">
        <f>+'[1]CHI TIẾT'!D54+'[1]CHI TIẾT'!D155+'[1]CHI TIẾT'!D263</f>
        <v>47.899900000000002</v>
      </c>
      <c r="G21" s="328">
        <f t="shared" si="0"/>
        <v>6.6226282170633004</v>
      </c>
      <c r="H21" s="329"/>
      <c r="I21" s="327"/>
      <c r="J21" s="44"/>
      <c r="K21" s="44"/>
      <c r="L21" s="44"/>
      <c r="M21" s="44"/>
      <c r="N21" s="44"/>
      <c r="O21" s="44" t="s">
        <v>653</v>
      </c>
      <c r="P21" s="69"/>
      <c r="Q21" s="66"/>
      <c r="R21" s="66">
        <v>10441.129999999999</v>
      </c>
      <c r="S21" s="66"/>
      <c r="T21" s="66">
        <f>+R21+S23</f>
        <v>25052.424999999999</v>
      </c>
      <c r="U21" s="66">
        <f>+T21/S11</f>
        <v>10.165152523391789</v>
      </c>
      <c r="V21" s="66"/>
      <c r="W21" s="66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</row>
    <row r="22" spans="1:41" s="45" customFormat="1" ht="15.75" x14ac:dyDescent="0.25">
      <c r="A22" s="274">
        <v>4</v>
      </c>
      <c r="B22" s="323" t="s">
        <v>97</v>
      </c>
      <c r="C22" s="274" t="s">
        <v>635</v>
      </c>
      <c r="D22" s="328">
        <v>3227.5</v>
      </c>
      <c r="E22" s="328">
        <f t="shared" si="1"/>
        <v>0.32274999999999998</v>
      </c>
      <c r="F22" s="328">
        <f>+'[1]CHI TIẾT'!D270</f>
        <v>0.32</v>
      </c>
      <c r="G22" s="328">
        <f t="shared" si="0"/>
        <v>4.4243120120506643E-2</v>
      </c>
      <c r="H22" s="329"/>
      <c r="I22" s="327"/>
      <c r="J22" s="44"/>
      <c r="K22" s="44"/>
      <c r="L22" s="44"/>
      <c r="M22" s="44"/>
      <c r="N22" s="44"/>
      <c r="O22" s="44" t="s">
        <v>654</v>
      </c>
      <c r="P22" s="69"/>
      <c r="Q22" s="66"/>
      <c r="R22" s="130">
        <v>11898.42</v>
      </c>
      <c r="S22" s="66"/>
      <c r="T22" s="66">
        <f>+R22+S23</f>
        <v>26509.715</v>
      </c>
      <c r="U22" s="66">
        <f>+T22/S16</f>
        <v>12.71217475951625</v>
      </c>
      <c r="V22" s="66"/>
      <c r="W22" s="66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</row>
    <row r="23" spans="1:41" s="45" customFormat="1" ht="15.75" x14ac:dyDescent="0.25">
      <c r="A23" s="274">
        <v>5</v>
      </c>
      <c r="B23" s="323" t="s">
        <v>98</v>
      </c>
      <c r="C23" s="274" t="s">
        <v>7</v>
      </c>
      <c r="D23" s="328">
        <v>43356.67</v>
      </c>
      <c r="E23" s="328">
        <f t="shared" si="1"/>
        <v>4.3356669999999999</v>
      </c>
      <c r="F23" s="328">
        <f>+'[1]CHI TIẾT'!D59+'[1]CHI TIẾT'!D272+'[1]CHI TIẾT'!D385</f>
        <v>4.3294000000000006</v>
      </c>
      <c r="G23" s="328">
        <f t="shared" si="0"/>
        <v>0.5985817632803796</v>
      </c>
      <c r="H23" s="329"/>
      <c r="I23" s="327"/>
      <c r="J23" s="44"/>
      <c r="K23" s="44"/>
      <c r="L23" s="44"/>
      <c r="M23" s="44"/>
      <c r="N23" s="44"/>
      <c r="O23" s="69" t="s">
        <v>705</v>
      </c>
      <c r="P23" s="69"/>
      <c r="Q23" s="66"/>
      <c r="R23" s="66">
        <v>29222.59</v>
      </c>
      <c r="S23" s="66">
        <f>+R23/2</f>
        <v>14611.295</v>
      </c>
      <c r="T23" s="66"/>
      <c r="U23" s="66"/>
      <c r="V23" s="66"/>
      <c r="W23" s="66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</row>
    <row r="24" spans="1:41" s="45" customFormat="1" ht="15.75" x14ac:dyDescent="0.25">
      <c r="A24" s="274">
        <v>6</v>
      </c>
      <c r="B24" s="323" t="s">
        <v>99</v>
      </c>
      <c r="C24" s="274" t="s">
        <v>115</v>
      </c>
      <c r="D24" s="328">
        <v>266056.90999999997</v>
      </c>
      <c r="E24" s="328">
        <f t="shared" si="1"/>
        <v>26.605690999999997</v>
      </c>
      <c r="F24" s="328">
        <f>+'[1]CHI TIẾT'!D60+'[1]CHI TIẾT'!D158+'[1]CHI TIẾT'!D275+'[1]CHI TIẾT'!D389</f>
        <v>21.691200000000002</v>
      </c>
      <c r="G24" s="328">
        <f t="shared" si="0"/>
        <v>2.9990198973685436</v>
      </c>
      <c r="H24" s="329"/>
      <c r="I24" s="327"/>
      <c r="J24" s="44"/>
      <c r="K24" s="44"/>
      <c r="L24" s="44"/>
      <c r="M24" s="44"/>
      <c r="N24" s="44"/>
      <c r="O24" s="69"/>
      <c r="P24" s="69"/>
      <c r="Q24" s="66"/>
      <c r="R24" s="66"/>
      <c r="S24" s="66"/>
      <c r="T24" s="66"/>
      <c r="U24" s="66"/>
      <c r="V24" s="66"/>
      <c r="W24" s="66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</row>
    <row r="25" spans="1:41" s="45" customFormat="1" ht="15.75" x14ac:dyDescent="0.25">
      <c r="A25" s="274">
        <v>7</v>
      </c>
      <c r="B25" s="323" t="s">
        <v>100</v>
      </c>
      <c r="C25" s="274" t="s">
        <v>8</v>
      </c>
      <c r="D25" s="328">
        <v>144721.31</v>
      </c>
      <c r="E25" s="328">
        <f t="shared" si="1"/>
        <v>14.472130999999999</v>
      </c>
      <c r="F25" s="328">
        <f>+'[1]CHI TIẾT'!D61</f>
        <v>19.440000000000001</v>
      </c>
      <c r="G25" s="328">
        <f t="shared" si="0"/>
        <v>2.6877695473207788</v>
      </c>
      <c r="H25" s="329"/>
      <c r="I25" s="327"/>
      <c r="J25" s="44"/>
      <c r="K25" s="44"/>
      <c r="L25" s="44"/>
      <c r="M25" s="44"/>
      <c r="N25" s="44"/>
      <c r="O25" s="69" t="s">
        <v>828</v>
      </c>
      <c r="P25" s="69"/>
      <c r="Q25" s="66"/>
      <c r="R25" s="66"/>
      <c r="S25" s="66"/>
      <c r="T25" s="66"/>
      <c r="U25" s="66"/>
      <c r="V25" s="66"/>
      <c r="W25" s="66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</row>
    <row r="26" spans="1:41" s="45" customFormat="1" ht="15.75" x14ac:dyDescent="0.25">
      <c r="A26" s="274">
        <v>8</v>
      </c>
      <c r="B26" s="323" t="s">
        <v>101</v>
      </c>
      <c r="C26" s="274" t="s">
        <v>4</v>
      </c>
      <c r="D26" s="328">
        <v>9384.3700000000008</v>
      </c>
      <c r="E26" s="328">
        <f t="shared" si="1"/>
        <v>0.93843700000000008</v>
      </c>
      <c r="F26" s="328">
        <f>+'[1]CHI TIẾT'!D282</f>
        <v>0.94</v>
      </c>
      <c r="G26" s="328">
        <f t="shared" si="0"/>
        <v>0.12996416535398825</v>
      </c>
      <c r="H26" s="329"/>
      <c r="I26" s="327"/>
      <c r="J26" s="44"/>
      <c r="K26" s="44"/>
      <c r="L26" s="44"/>
      <c r="M26" s="44"/>
      <c r="N26" s="44"/>
      <c r="O26" s="130">
        <v>78.510000000000005</v>
      </c>
      <c r="P26" s="69">
        <v>14134</v>
      </c>
      <c r="Q26" s="69">
        <v>2019</v>
      </c>
      <c r="R26" s="66"/>
      <c r="S26" s="66"/>
      <c r="T26" s="66"/>
      <c r="U26" s="66"/>
      <c r="V26" s="66"/>
      <c r="W26" s="66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</row>
    <row r="27" spans="1:41" s="45" customFormat="1" ht="15.75" x14ac:dyDescent="0.25">
      <c r="A27" s="274">
        <v>9</v>
      </c>
      <c r="B27" s="323" t="s">
        <v>102</v>
      </c>
      <c r="C27" s="274" t="s">
        <v>116</v>
      </c>
      <c r="D27" s="328">
        <v>51436.42</v>
      </c>
      <c r="E27" s="328">
        <f t="shared" si="1"/>
        <v>5.1436419999999998</v>
      </c>
      <c r="F27" s="328">
        <f>+'[1]CHI TIẾT'!D283</f>
        <v>5.15</v>
      </c>
      <c r="G27" s="328">
        <f t="shared" si="0"/>
        <v>0.71203771443940389</v>
      </c>
      <c r="H27" s="329"/>
      <c r="I27" s="327"/>
      <c r="J27" s="44"/>
      <c r="K27" s="44"/>
      <c r="L27" s="44"/>
      <c r="M27" s="44"/>
      <c r="N27" s="44"/>
      <c r="O27" s="66">
        <v>14.52</v>
      </c>
      <c r="P27" s="69">
        <f>+O27*P26/O26</f>
        <v>2614.0068781046998</v>
      </c>
      <c r="Q27" s="66"/>
      <c r="R27" s="66"/>
      <c r="S27" s="69">
        <f>+P27+P31+P34+P37</f>
        <v>5575.2245802575653</v>
      </c>
      <c r="T27" s="66"/>
      <c r="U27" s="66"/>
      <c r="V27" s="66"/>
      <c r="W27" s="66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</row>
    <row r="28" spans="1:41" s="45" customFormat="1" ht="15.75" x14ac:dyDescent="0.25">
      <c r="A28" s="274">
        <v>10</v>
      </c>
      <c r="B28" s="323" t="s">
        <v>103</v>
      </c>
      <c r="C28" s="274" t="s">
        <v>80</v>
      </c>
      <c r="D28" s="328">
        <v>12814.34</v>
      </c>
      <c r="E28" s="328">
        <f t="shared" si="1"/>
        <v>1.281434</v>
      </c>
      <c r="F28" s="328">
        <f>+'[1]CHI TIẾT'!D164</f>
        <v>1.28</v>
      </c>
      <c r="G28" s="328">
        <f t="shared" si="0"/>
        <v>0.17697248048202657</v>
      </c>
      <c r="H28" s="329"/>
      <c r="I28" s="327"/>
      <c r="J28" s="44"/>
      <c r="K28" s="44"/>
      <c r="L28" s="44"/>
      <c r="M28" s="44"/>
      <c r="N28" s="44"/>
      <c r="O28" s="69" t="s">
        <v>829</v>
      </c>
      <c r="P28" s="69"/>
      <c r="Q28" s="66"/>
      <c r="R28" s="44"/>
      <c r="S28" s="44"/>
      <c r="T28" s="44"/>
      <c r="U28" s="59">
        <v>423067.71</v>
      </c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</row>
    <row r="29" spans="1:41" s="45" customFormat="1" ht="15.75" x14ac:dyDescent="0.25">
      <c r="A29" s="274">
        <v>11</v>
      </c>
      <c r="B29" s="323" t="s">
        <v>104</v>
      </c>
      <c r="C29" s="274" t="s">
        <v>117</v>
      </c>
      <c r="D29" s="336">
        <v>41008.49</v>
      </c>
      <c r="E29" s="336">
        <f t="shared" si="1"/>
        <v>4.1008490000000002</v>
      </c>
      <c r="F29" s="336">
        <f>+'[1]CHI TIẾT'!D165+'[1]CHI TIẾT'!D287+'[1]CHI TIẾT'!D401</f>
        <v>4.1017000000000001</v>
      </c>
      <c r="G29" s="328">
        <f t="shared" si="0"/>
        <v>0.56710001811963151</v>
      </c>
      <c r="H29" s="329"/>
      <c r="I29" s="327"/>
      <c r="J29" s="44"/>
      <c r="K29" s="66"/>
      <c r="L29" s="44"/>
      <c r="M29" s="44"/>
      <c r="N29" s="44"/>
      <c r="O29" s="66">
        <v>77.06</v>
      </c>
      <c r="P29" s="69">
        <v>16380</v>
      </c>
      <c r="Q29" s="69">
        <v>2019</v>
      </c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</row>
    <row r="30" spans="1:41" s="45" customFormat="1" ht="15.75" x14ac:dyDescent="0.25">
      <c r="A30" s="274">
        <v>12</v>
      </c>
      <c r="B30" s="323" t="s">
        <v>837</v>
      </c>
      <c r="C30" s="274" t="s">
        <v>848</v>
      </c>
      <c r="D30" s="328">
        <v>76530.95</v>
      </c>
      <c r="E30" s="328">
        <f t="shared" si="1"/>
        <v>7.6530949999999995</v>
      </c>
      <c r="F30" s="328">
        <f>+'[1]CHI TIẾT'!D291</f>
        <v>7.65</v>
      </c>
      <c r="G30" s="328">
        <f t="shared" si="0"/>
        <v>1.0576870903808619</v>
      </c>
      <c r="H30" s="329"/>
      <c r="I30" s="327"/>
      <c r="J30" s="44"/>
      <c r="K30" s="66"/>
      <c r="L30" s="44"/>
      <c r="M30" s="44"/>
      <c r="N30" s="44"/>
      <c r="O30" s="66"/>
      <c r="P30" s="69"/>
      <c r="Q30" s="69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</row>
    <row r="31" spans="1:41" s="45" customFormat="1" ht="15.75" x14ac:dyDescent="0.25">
      <c r="A31" s="274">
        <v>13</v>
      </c>
      <c r="B31" s="323" t="s">
        <v>105</v>
      </c>
      <c r="C31" s="274" t="s">
        <v>85</v>
      </c>
      <c r="D31" s="336">
        <v>68332.27</v>
      </c>
      <c r="E31" s="336">
        <f t="shared" si="1"/>
        <v>6.8332270000000008</v>
      </c>
      <c r="F31" s="328">
        <f>+'[1]CHI TIẾT'!D62+'[1]CHI TIẾT'!D295+'[1]CHI TIẾT'!D402</f>
        <v>6.8500000000000005</v>
      </c>
      <c r="G31" s="328">
        <f t="shared" si="0"/>
        <v>0.94707929007959535</v>
      </c>
      <c r="H31" s="329"/>
      <c r="I31" s="327"/>
      <c r="J31" s="44"/>
      <c r="K31" s="44"/>
      <c r="L31" s="44"/>
      <c r="M31" s="44"/>
      <c r="N31" s="44"/>
      <c r="O31" s="66">
        <v>13.55</v>
      </c>
      <c r="P31" s="69">
        <f>+O31*P29/O29</f>
        <v>2880.2102257980791</v>
      </c>
      <c r="Q31" s="66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</row>
    <row r="32" spans="1:41" s="45" customFormat="1" ht="15.75" x14ac:dyDescent="0.25">
      <c r="A32" s="274">
        <v>14</v>
      </c>
      <c r="B32" s="323" t="s">
        <v>709</v>
      </c>
      <c r="C32" s="274"/>
      <c r="D32" s="328">
        <f>+D33+D34+D35</f>
        <v>722559.56</v>
      </c>
      <c r="E32" s="328">
        <f>E33+E34+E35</f>
        <v>72.266677999999999</v>
      </c>
      <c r="F32" s="328">
        <f>+SUM(F33:F35)</f>
        <v>72.969500000000011</v>
      </c>
      <c r="G32" s="328">
        <f t="shared" si="0"/>
        <v>10.088744855104094</v>
      </c>
      <c r="H32" s="329"/>
      <c r="I32" s="327"/>
      <c r="J32" s="44"/>
      <c r="K32" s="44"/>
      <c r="L32" s="44"/>
      <c r="M32" s="44"/>
      <c r="N32" s="44"/>
      <c r="O32" s="69" t="s">
        <v>830</v>
      </c>
      <c r="P32" s="69"/>
      <c r="Q32" s="66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</row>
    <row r="33" spans="1:41" s="45" customFormat="1" ht="15.75" x14ac:dyDescent="0.25">
      <c r="A33" s="326" t="s">
        <v>849</v>
      </c>
      <c r="B33" s="324" t="s">
        <v>94</v>
      </c>
      <c r="C33" s="272" t="s">
        <v>114</v>
      </c>
      <c r="D33" s="332">
        <v>219092.78</v>
      </c>
      <c r="E33" s="332">
        <v>21.92</v>
      </c>
      <c r="F33" s="332">
        <f>+'[1]CHI TIẾT'!D302</f>
        <v>21.92</v>
      </c>
      <c r="G33" s="332">
        <f t="shared" si="0"/>
        <v>3.0306537282547055</v>
      </c>
      <c r="H33" s="331"/>
      <c r="I33" s="327"/>
      <c r="J33" s="44"/>
      <c r="K33" s="44"/>
      <c r="L33" s="44"/>
      <c r="M33" s="44"/>
      <c r="N33" s="44"/>
      <c r="O33" s="69">
        <v>1349</v>
      </c>
      <c r="P33" s="69">
        <v>9104</v>
      </c>
      <c r="Q33" s="69">
        <v>2019</v>
      </c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</row>
    <row r="34" spans="1:41" s="45" customFormat="1" ht="15.75" x14ac:dyDescent="0.25">
      <c r="A34" s="272" t="s">
        <v>850</v>
      </c>
      <c r="B34" s="324" t="s">
        <v>95</v>
      </c>
      <c r="C34" s="272" t="s">
        <v>84</v>
      </c>
      <c r="D34" s="332">
        <v>141344.87</v>
      </c>
      <c r="E34" s="333">
        <f t="shared" si="1"/>
        <v>14.134487</v>
      </c>
      <c r="F34" s="332">
        <f>+'[1]CHI TIẾT'!D67+'[1]CHI TIẾT'!D169+'[1]CHI TIẾT'!D305</f>
        <v>12.499499999999999</v>
      </c>
      <c r="G34" s="332">
        <f t="shared" si="0"/>
        <v>1.7281777498321025</v>
      </c>
      <c r="H34" s="331"/>
      <c r="I34" s="327"/>
      <c r="J34" s="44"/>
      <c r="K34" s="44"/>
      <c r="L34" s="44">
        <v>219092.78</v>
      </c>
      <c r="M34" s="44"/>
      <c r="N34" s="44"/>
      <c r="O34" s="44">
        <v>9.61</v>
      </c>
      <c r="P34" s="82">
        <f>+O34*P33/O33</f>
        <v>64.855033358042988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</row>
    <row r="35" spans="1:41" s="45" customFormat="1" ht="15.75" x14ac:dyDescent="0.25">
      <c r="A35" s="272" t="s">
        <v>851</v>
      </c>
      <c r="B35" s="324" t="s">
        <v>53</v>
      </c>
      <c r="C35" s="272" t="s">
        <v>83</v>
      </c>
      <c r="D35" s="333">
        <v>362121.91</v>
      </c>
      <c r="E35" s="333">
        <f t="shared" si="1"/>
        <v>36.212190999999997</v>
      </c>
      <c r="F35" s="332">
        <f>+'[1]CHI TIẾT'!D73+'[1]CHI TIẾT'!D173+'[1]CHI TIẾT'!D311</f>
        <v>38.550000000000004</v>
      </c>
      <c r="G35" s="332">
        <f t="shared" si="0"/>
        <v>5.3299133770172853</v>
      </c>
      <c r="H35" s="331"/>
      <c r="I35" s="327"/>
      <c r="J35" s="44"/>
      <c r="K35" s="44"/>
      <c r="L35" s="44">
        <v>141344.87</v>
      </c>
      <c r="M35" s="44"/>
      <c r="N35" s="44"/>
      <c r="O35" s="44" t="s">
        <v>831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</row>
    <row r="36" spans="1:41" s="61" customFormat="1" ht="15.75" x14ac:dyDescent="0.25">
      <c r="A36" s="318" t="s">
        <v>608</v>
      </c>
      <c r="B36" s="280" t="s">
        <v>624</v>
      </c>
      <c r="C36" s="318"/>
      <c r="D36" s="281">
        <f>+D37</f>
        <v>97529.72</v>
      </c>
      <c r="E36" s="281">
        <f t="shared" si="1"/>
        <v>9.7529719999999998</v>
      </c>
      <c r="F36" s="281">
        <f>+F37</f>
        <v>8</v>
      </c>
      <c r="G36" s="281">
        <f t="shared" si="0"/>
        <v>1.106078003012666</v>
      </c>
      <c r="H36" s="282"/>
      <c r="I36" s="327"/>
      <c r="J36" s="60"/>
      <c r="K36" s="60"/>
      <c r="L36" s="60"/>
      <c r="M36" s="60"/>
      <c r="N36" s="60"/>
      <c r="O36" s="76">
        <v>921</v>
      </c>
      <c r="P36" s="76">
        <v>3220</v>
      </c>
      <c r="Q36" s="76">
        <v>2021</v>
      </c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</row>
    <row r="37" spans="1:41" s="45" customFormat="1" ht="15.75" x14ac:dyDescent="0.25">
      <c r="A37" s="274">
        <v>1</v>
      </c>
      <c r="B37" s="323" t="s">
        <v>120</v>
      </c>
      <c r="C37" s="274" t="s">
        <v>3</v>
      </c>
      <c r="D37" s="328">
        <f>+D38+D39</f>
        <v>97529.72</v>
      </c>
      <c r="E37" s="328">
        <f t="shared" si="1"/>
        <v>9.7529719999999998</v>
      </c>
      <c r="F37" s="328">
        <f>+'[1]CHI TIẾT'!D79+'[1]CHI TIẾT'!D180+'[1]CHI TIẾT'!D323+'[1]CHI TIẾT'!D406</f>
        <v>8</v>
      </c>
      <c r="G37" s="328">
        <f t="shared" si="0"/>
        <v>1.106078003012666</v>
      </c>
      <c r="H37" s="329"/>
      <c r="I37" s="327"/>
      <c r="J37" s="44"/>
      <c r="K37" s="44"/>
      <c r="L37" s="44"/>
      <c r="M37" s="44"/>
      <c r="N37" s="44"/>
      <c r="O37" s="66">
        <v>4.62</v>
      </c>
      <c r="P37" s="69">
        <f>+O37*P36/O36</f>
        <v>16.152442996742671</v>
      </c>
      <c r="Q37" s="66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</row>
    <row r="38" spans="1:41" s="45" customFormat="1" ht="15.75" x14ac:dyDescent="0.25">
      <c r="A38" s="272" t="s">
        <v>31</v>
      </c>
      <c r="B38" s="324" t="s">
        <v>106</v>
      </c>
      <c r="C38" s="272"/>
      <c r="D38" s="332">
        <v>72003.94</v>
      </c>
      <c r="E38" s="328">
        <f t="shared" si="1"/>
        <v>7.2003940000000002</v>
      </c>
      <c r="F38" s="332">
        <f>+'[1]CHI TIẾT'!D181+'[1]CHI TIẾT'!D183+'[1]CHI TIẾT'!D327+'[1]CHI TIẾT'!D328+'[1]CHI TIẾT'!D406</f>
        <v>2.58</v>
      </c>
      <c r="G38" s="332">
        <f t="shared" si="0"/>
        <v>0.35671015597158484</v>
      </c>
      <c r="H38" s="331"/>
      <c r="I38" s="327"/>
      <c r="J38" s="44"/>
      <c r="K38" s="44"/>
      <c r="L38" s="66">
        <f>+D40+D36+D18+D4</f>
        <v>7232762.9500000002</v>
      </c>
      <c r="M38" s="44"/>
      <c r="N38" s="44"/>
      <c r="O38" s="69"/>
      <c r="P38" s="69"/>
      <c r="Q38" s="66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</row>
    <row r="39" spans="1:41" s="45" customFormat="1" ht="15.75" x14ac:dyDescent="0.25">
      <c r="A39" s="272" t="s">
        <v>24</v>
      </c>
      <c r="B39" s="324" t="s">
        <v>107</v>
      </c>
      <c r="C39" s="272"/>
      <c r="D39" s="332">
        <v>25525.78</v>
      </c>
      <c r="E39" s="328">
        <f t="shared" si="1"/>
        <v>2.552578</v>
      </c>
      <c r="F39" s="332">
        <f>+'[1]CHI TIẾT'!D80+'[1]CHI TIẾT'!D81+'[1]CHI TIẾT'!D182+'[1]CHI TIẾT'!D184+'[1]CHI TIẾT'!D324+'[1]CHI TIẾT'!D325+'[1]CHI TIẾT'!D326</f>
        <v>5.42</v>
      </c>
      <c r="G39" s="332">
        <f t="shared" si="0"/>
        <v>0.74936784704108128</v>
      </c>
      <c r="H39" s="331"/>
      <c r="I39" s="327"/>
      <c r="J39" s="44"/>
      <c r="K39" s="44"/>
      <c r="L39" s="44"/>
      <c r="M39" s="44"/>
      <c r="N39" s="44"/>
      <c r="O39" s="69"/>
      <c r="P39" s="69"/>
      <c r="Q39" s="66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</row>
    <row r="40" spans="1:41" s="61" customFormat="1" ht="47.25" x14ac:dyDescent="0.25">
      <c r="A40" s="318" t="s">
        <v>623</v>
      </c>
      <c r="B40" s="280" t="s">
        <v>605</v>
      </c>
      <c r="C40" s="318"/>
      <c r="D40" s="281">
        <f>+D3-D4-D18-D36</f>
        <v>1105753.6100000001</v>
      </c>
      <c r="E40" s="281">
        <f t="shared" si="1"/>
        <v>110.57536100000002</v>
      </c>
      <c r="F40" s="281">
        <f>+F3-F4-F18-F36</f>
        <v>113.34189500000008</v>
      </c>
      <c r="G40" s="281">
        <v>15.66</v>
      </c>
      <c r="H40" s="282"/>
      <c r="I40" s="337" t="s">
        <v>1205</v>
      </c>
      <c r="J40" s="60"/>
      <c r="K40" s="60"/>
      <c r="L40" s="60"/>
      <c r="M40" s="60"/>
      <c r="N40" s="60"/>
      <c r="O40" s="76"/>
      <c r="P40" s="76"/>
      <c r="Q40" s="64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</row>
    <row r="41" spans="1:41" x14ac:dyDescent="0.25">
      <c r="A41" s="41"/>
      <c r="B41" s="83"/>
      <c r="C41" s="41"/>
      <c r="D41" s="78"/>
      <c r="E41" s="78"/>
      <c r="F41" s="78"/>
      <c r="G41" s="46"/>
      <c r="H41" s="73"/>
      <c r="J41" s="40"/>
      <c r="K41" s="40"/>
      <c r="L41" s="40"/>
      <c r="M41" s="40"/>
      <c r="N41" s="40"/>
      <c r="AJ41" s="40"/>
      <c r="AK41" s="40"/>
      <c r="AL41" s="40"/>
      <c r="AM41" s="40"/>
      <c r="AN41" s="40"/>
      <c r="AO41" s="40"/>
    </row>
    <row r="42" spans="1:41" x14ac:dyDescent="0.25">
      <c r="A42" s="41"/>
      <c r="B42" s="83"/>
      <c r="C42" s="41"/>
      <c r="D42" s="78"/>
      <c r="E42" s="78"/>
      <c r="F42" s="78"/>
      <c r="G42" s="46"/>
      <c r="H42" s="73"/>
      <c r="J42" s="40"/>
      <c r="K42" s="40"/>
      <c r="L42" s="40"/>
      <c r="M42" s="40"/>
      <c r="N42" s="40"/>
      <c r="AJ42" s="40"/>
      <c r="AK42" s="40"/>
      <c r="AL42" s="40"/>
      <c r="AM42" s="40"/>
      <c r="AN42" s="40"/>
      <c r="AO42" s="40"/>
    </row>
    <row r="43" spans="1:41" x14ac:dyDescent="0.25">
      <c r="A43" s="102"/>
      <c r="B43" s="103"/>
      <c r="C43" s="113"/>
      <c r="D43" s="310"/>
      <c r="E43" s="310"/>
      <c r="F43" s="310"/>
      <c r="G43" s="311"/>
      <c r="H43" s="312"/>
      <c r="I43" s="147"/>
      <c r="J43" s="40"/>
      <c r="K43" s="40"/>
      <c r="L43" s="40"/>
      <c r="M43" s="40"/>
      <c r="N43" s="40"/>
      <c r="AJ43" s="40"/>
      <c r="AK43" s="40"/>
      <c r="AL43" s="40"/>
      <c r="AM43" s="40"/>
      <c r="AN43" s="40"/>
      <c r="AO43" s="40"/>
    </row>
    <row r="44" spans="1:41" x14ac:dyDescent="0.25">
      <c r="A44" s="102"/>
      <c r="B44" s="103"/>
      <c r="C44" s="102"/>
      <c r="D44" s="310"/>
      <c r="E44" s="310"/>
      <c r="F44" s="310"/>
      <c r="G44" s="311"/>
      <c r="H44" s="312"/>
      <c r="I44" s="147"/>
      <c r="J44" s="40"/>
      <c r="K44" s="40"/>
      <c r="L44" s="40"/>
      <c r="M44" s="40"/>
      <c r="N44" s="40"/>
      <c r="AJ44" s="40"/>
      <c r="AK44" s="40"/>
      <c r="AL44" s="40"/>
      <c r="AM44" s="40"/>
      <c r="AN44" s="40"/>
      <c r="AO44" s="40"/>
    </row>
    <row r="45" spans="1:41" x14ac:dyDescent="0.25">
      <c r="A45" s="102"/>
      <c r="B45" s="103"/>
      <c r="C45" s="102"/>
      <c r="D45" s="310"/>
      <c r="E45" s="310"/>
      <c r="F45" s="310"/>
      <c r="G45" s="311"/>
      <c r="H45" s="312"/>
      <c r="I45" s="147"/>
      <c r="J45" s="40"/>
      <c r="K45" s="40"/>
      <c r="L45" s="40"/>
      <c r="M45" s="40"/>
      <c r="N45" s="40"/>
      <c r="AJ45" s="40"/>
      <c r="AK45" s="40"/>
      <c r="AL45" s="40"/>
      <c r="AM45" s="40"/>
      <c r="AN45" s="40"/>
      <c r="AO45" s="40"/>
    </row>
    <row r="46" spans="1:41" x14ac:dyDescent="0.25">
      <c r="A46" s="102"/>
      <c r="B46" s="103"/>
      <c r="C46" s="102"/>
      <c r="D46" s="310"/>
      <c r="E46" s="310"/>
      <c r="F46" s="310"/>
      <c r="G46" s="311"/>
      <c r="H46" s="312"/>
      <c r="I46" s="147"/>
      <c r="J46" s="40"/>
      <c r="K46" s="40"/>
      <c r="L46" s="40"/>
      <c r="M46" s="40"/>
      <c r="N46" s="40"/>
      <c r="AJ46" s="40"/>
      <c r="AK46" s="40"/>
      <c r="AL46" s="40"/>
      <c r="AM46" s="40"/>
      <c r="AN46" s="40"/>
      <c r="AO46" s="40"/>
    </row>
    <row r="47" spans="1:41" x14ac:dyDescent="0.25">
      <c r="A47" s="102"/>
      <c r="B47" s="103"/>
      <c r="C47" s="113"/>
      <c r="D47" s="310"/>
      <c r="E47" s="310"/>
      <c r="F47" s="310"/>
      <c r="G47" s="311"/>
      <c r="H47" s="312"/>
      <c r="I47" s="147"/>
      <c r="J47" s="40"/>
      <c r="K47" s="40"/>
      <c r="L47" s="40"/>
      <c r="M47" s="40"/>
      <c r="N47" s="40"/>
      <c r="AJ47" s="40"/>
      <c r="AK47" s="40"/>
      <c r="AL47" s="40"/>
      <c r="AM47" s="40"/>
      <c r="AN47" s="40"/>
      <c r="AO47" s="40"/>
    </row>
    <row r="48" spans="1:41" x14ac:dyDescent="0.25">
      <c r="A48" s="102"/>
      <c r="B48" s="103"/>
      <c r="C48" s="102"/>
      <c r="D48" s="310"/>
      <c r="E48" s="310"/>
      <c r="F48" s="310"/>
      <c r="G48" s="311"/>
      <c r="H48" s="312"/>
      <c r="I48" s="147"/>
      <c r="J48" s="40"/>
      <c r="K48" s="40"/>
      <c r="L48" s="40"/>
      <c r="M48" s="40"/>
      <c r="N48" s="40"/>
      <c r="AJ48" s="40"/>
      <c r="AK48" s="40"/>
      <c r="AL48" s="40"/>
      <c r="AM48" s="40"/>
      <c r="AN48" s="40"/>
      <c r="AO48" s="40"/>
    </row>
    <row r="49" spans="1:41" x14ac:dyDescent="0.25">
      <c r="A49" s="102"/>
      <c r="B49" s="103"/>
      <c r="C49" s="102"/>
      <c r="D49" s="310"/>
      <c r="E49" s="310"/>
      <c r="F49" s="310"/>
      <c r="G49" s="311"/>
      <c r="H49" s="312"/>
      <c r="I49" s="147"/>
      <c r="J49" s="40"/>
      <c r="K49" s="40"/>
      <c r="L49" s="40"/>
      <c r="M49" s="40"/>
      <c r="N49" s="40"/>
      <c r="AJ49" s="40"/>
      <c r="AK49" s="40"/>
      <c r="AL49" s="40"/>
      <c r="AM49" s="40"/>
      <c r="AN49" s="40"/>
      <c r="AO49" s="40"/>
    </row>
    <row r="50" spans="1:41" x14ac:dyDescent="0.25">
      <c r="A50" s="102"/>
      <c r="B50" s="103"/>
      <c r="C50" s="102"/>
      <c r="D50" s="310"/>
      <c r="E50" s="310"/>
      <c r="F50" s="310"/>
      <c r="G50" s="311"/>
      <c r="H50" s="312"/>
      <c r="I50" s="147"/>
      <c r="J50" s="40"/>
      <c r="K50" s="40"/>
      <c r="L50" s="40"/>
      <c r="M50" s="40"/>
      <c r="N50" s="40"/>
      <c r="AJ50" s="40"/>
      <c r="AK50" s="40"/>
      <c r="AL50" s="40"/>
      <c r="AM50" s="40"/>
      <c r="AN50" s="40"/>
      <c r="AO50" s="40"/>
    </row>
    <row r="51" spans="1:41" x14ac:dyDescent="0.25">
      <c r="A51" s="102"/>
      <c r="B51" s="103"/>
      <c r="C51" s="102"/>
      <c r="D51" s="310"/>
      <c r="E51" s="310"/>
      <c r="F51" s="310"/>
      <c r="G51" s="311"/>
      <c r="H51" s="312"/>
      <c r="I51" s="147"/>
      <c r="J51" s="40"/>
      <c r="K51" s="40"/>
      <c r="L51" s="40"/>
      <c r="M51" s="40"/>
      <c r="N51" s="40"/>
      <c r="AJ51" s="40"/>
      <c r="AK51" s="40"/>
      <c r="AL51" s="40"/>
      <c r="AM51" s="40"/>
      <c r="AN51" s="40"/>
      <c r="AO51" s="40"/>
    </row>
    <row r="52" spans="1:41" x14ac:dyDescent="0.25">
      <c r="A52" s="102"/>
      <c r="B52" s="103"/>
      <c r="C52" s="102"/>
      <c r="D52" s="310"/>
      <c r="E52" s="310"/>
      <c r="F52" s="310"/>
      <c r="G52" s="311"/>
      <c r="H52" s="312"/>
      <c r="I52" s="147"/>
      <c r="J52" s="40"/>
      <c r="K52" s="40"/>
      <c r="L52" s="40"/>
      <c r="M52" s="40"/>
      <c r="N52" s="40"/>
      <c r="AJ52" s="40"/>
      <c r="AK52" s="40"/>
      <c r="AL52" s="40"/>
      <c r="AM52" s="40"/>
      <c r="AN52" s="40"/>
      <c r="AO52" s="40"/>
    </row>
    <row r="53" spans="1:41" x14ac:dyDescent="0.25">
      <c r="A53" s="102"/>
      <c r="B53" s="103"/>
      <c r="C53" s="102"/>
      <c r="D53" s="310"/>
      <c r="E53" s="310"/>
      <c r="F53" s="310"/>
      <c r="G53" s="311"/>
      <c r="H53" s="312"/>
      <c r="I53" s="147"/>
      <c r="J53" s="40"/>
      <c r="K53" s="40"/>
      <c r="L53" s="40"/>
      <c r="M53" s="40"/>
      <c r="N53" s="40"/>
      <c r="AJ53" s="40"/>
      <c r="AK53" s="40"/>
      <c r="AL53" s="40"/>
      <c r="AM53" s="40"/>
      <c r="AN53" s="40"/>
      <c r="AO53" s="40"/>
    </row>
    <row r="54" spans="1:41" x14ac:dyDescent="0.25">
      <c r="A54" s="102"/>
      <c r="B54" s="103"/>
      <c r="C54" s="102"/>
      <c r="D54" s="310"/>
      <c r="E54" s="310"/>
      <c r="F54" s="310"/>
      <c r="G54" s="311"/>
      <c r="H54" s="312"/>
      <c r="I54" s="147"/>
      <c r="J54" s="40"/>
      <c r="K54" s="40"/>
      <c r="L54" s="40"/>
      <c r="M54" s="40"/>
      <c r="N54" s="40"/>
      <c r="AJ54" s="40"/>
      <c r="AK54" s="40"/>
      <c r="AL54" s="40"/>
      <c r="AM54" s="40"/>
      <c r="AN54" s="40"/>
      <c r="AO54" s="40"/>
    </row>
    <row r="55" spans="1:41" x14ac:dyDescent="0.25">
      <c r="A55" s="102"/>
      <c r="B55" s="103"/>
      <c r="C55" s="102"/>
      <c r="D55" s="310"/>
      <c r="E55" s="310"/>
      <c r="F55" s="310"/>
      <c r="G55" s="311"/>
      <c r="H55" s="312"/>
      <c r="I55" s="147"/>
      <c r="J55" s="40"/>
      <c r="K55" s="40"/>
      <c r="L55" s="40"/>
      <c r="M55" s="40"/>
      <c r="N55" s="40"/>
      <c r="AJ55" s="40"/>
      <c r="AK55" s="40"/>
      <c r="AL55" s="40"/>
      <c r="AM55" s="40"/>
      <c r="AN55" s="40"/>
      <c r="AO55" s="40"/>
    </row>
    <row r="56" spans="1:41" x14ac:dyDescent="0.25">
      <c r="A56" s="102"/>
      <c r="B56" s="103"/>
      <c r="C56" s="102"/>
      <c r="D56" s="310"/>
      <c r="E56" s="310"/>
      <c r="F56" s="310"/>
      <c r="G56" s="311"/>
      <c r="H56" s="312"/>
      <c r="I56" s="147"/>
      <c r="J56" s="40"/>
      <c r="K56" s="40"/>
      <c r="L56" s="40"/>
      <c r="M56" s="40"/>
      <c r="N56" s="40"/>
      <c r="AJ56" s="40"/>
      <c r="AK56" s="40"/>
      <c r="AL56" s="40"/>
      <c r="AM56" s="40"/>
      <c r="AN56" s="40"/>
      <c r="AO56" s="40"/>
    </row>
    <row r="57" spans="1:41" x14ac:dyDescent="0.25">
      <c r="A57" s="102"/>
      <c r="B57" s="103"/>
      <c r="C57" s="102"/>
      <c r="D57" s="310"/>
      <c r="E57" s="310"/>
      <c r="F57" s="310"/>
      <c r="G57" s="311"/>
      <c r="H57" s="312"/>
      <c r="I57" s="147"/>
      <c r="J57" s="40"/>
      <c r="K57" s="40"/>
      <c r="L57" s="40"/>
      <c r="M57" s="40"/>
      <c r="N57" s="40"/>
      <c r="AJ57" s="40"/>
      <c r="AK57" s="40"/>
      <c r="AL57" s="40"/>
      <c r="AM57" s="40"/>
      <c r="AN57" s="40"/>
      <c r="AO57" s="40"/>
    </row>
    <row r="58" spans="1:41" x14ac:dyDescent="0.25">
      <c r="A58" s="102"/>
      <c r="B58" s="103"/>
      <c r="C58" s="102"/>
      <c r="D58" s="310"/>
      <c r="E58" s="310"/>
      <c r="F58" s="310"/>
      <c r="G58" s="311"/>
      <c r="H58" s="312"/>
      <c r="I58" s="147"/>
      <c r="J58" s="40"/>
      <c r="K58" s="40"/>
      <c r="L58" s="40"/>
      <c r="M58" s="40"/>
      <c r="N58" s="40"/>
      <c r="AJ58" s="40"/>
      <c r="AK58" s="40"/>
      <c r="AL58" s="40"/>
      <c r="AM58" s="40"/>
      <c r="AN58" s="40"/>
      <c r="AO58" s="40"/>
    </row>
    <row r="59" spans="1:41" x14ac:dyDescent="0.25">
      <c r="A59" s="102"/>
      <c r="B59" s="103"/>
      <c r="C59" s="102"/>
      <c r="D59" s="310"/>
      <c r="E59" s="310"/>
      <c r="F59" s="310"/>
      <c r="G59" s="311"/>
      <c r="H59" s="312"/>
      <c r="I59" s="147"/>
      <c r="J59" s="40"/>
      <c r="K59" s="40"/>
      <c r="L59" s="40"/>
      <c r="M59" s="40"/>
      <c r="N59" s="40"/>
      <c r="AJ59" s="40"/>
      <c r="AK59" s="40"/>
      <c r="AL59" s="40"/>
      <c r="AM59" s="40"/>
      <c r="AN59" s="40"/>
      <c r="AO59" s="40"/>
    </row>
    <row r="60" spans="1:41" x14ac:dyDescent="0.25">
      <c r="A60" s="102"/>
      <c r="B60" s="103"/>
      <c r="C60" s="102"/>
      <c r="D60" s="310"/>
      <c r="E60" s="310"/>
      <c r="F60" s="310"/>
      <c r="G60" s="311"/>
      <c r="H60" s="312"/>
      <c r="I60" s="147"/>
      <c r="J60" s="40"/>
      <c r="K60" s="40"/>
      <c r="L60" s="40"/>
      <c r="M60" s="40"/>
      <c r="N60" s="40"/>
      <c r="AJ60" s="40"/>
      <c r="AK60" s="40"/>
      <c r="AL60" s="40"/>
      <c r="AM60" s="40"/>
      <c r="AN60" s="40"/>
      <c r="AO60" s="40"/>
    </row>
    <row r="61" spans="1:41" x14ac:dyDescent="0.25">
      <c r="A61" s="102"/>
      <c r="B61" s="103"/>
      <c r="C61" s="102"/>
      <c r="D61" s="310"/>
      <c r="E61" s="310"/>
      <c r="F61" s="310"/>
      <c r="G61" s="311"/>
      <c r="H61" s="312"/>
      <c r="I61" s="147"/>
      <c r="J61" s="40"/>
      <c r="K61" s="40"/>
      <c r="L61" s="40"/>
      <c r="M61" s="40"/>
      <c r="N61" s="40"/>
      <c r="AJ61" s="40"/>
      <c r="AK61" s="40"/>
      <c r="AL61" s="40"/>
      <c r="AM61" s="40"/>
      <c r="AN61" s="40"/>
      <c r="AO61" s="40"/>
    </row>
    <row r="62" spans="1:41" x14ac:dyDescent="0.25">
      <c r="A62" s="102"/>
      <c r="B62" s="103"/>
      <c r="C62" s="102"/>
      <c r="D62" s="310"/>
      <c r="E62" s="310"/>
      <c r="F62" s="310"/>
      <c r="G62" s="311"/>
      <c r="H62" s="312"/>
      <c r="I62" s="147"/>
      <c r="J62" s="40"/>
      <c r="K62" s="40"/>
      <c r="L62" s="40"/>
      <c r="M62" s="40"/>
      <c r="N62" s="40"/>
      <c r="AJ62" s="40"/>
      <c r="AK62" s="40"/>
      <c r="AL62" s="40"/>
      <c r="AM62" s="40"/>
      <c r="AN62" s="40"/>
      <c r="AO62" s="40"/>
    </row>
    <row r="63" spans="1:41" x14ac:dyDescent="0.25">
      <c r="A63" s="102"/>
      <c r="B63" s="103"/>
      <c r="C63" s="102"/>
      <c r="D63" s="310"/>
      <c r="E63" s="310"/>
      <c r="F63" s="310"/>
      <c r="G63" s="311"/>
      <c r="H63" s="312"/>
      <c r="I63" s="147"/>
      <c r="J63" s="40"/>
      <c r="K63" s="40"/>
      <c r="L63" s="40"/>
      <c r="M63" s="40"/>
      <c r="N63" s="40"/>
      <c r="AJ63" s="40"/>
      <c r="AK63" s="40"/>
      <c r="AL63" s="40"/>
      <c r="AM63" s="40"/>
      <c r="AN63" s="40"/>
      <c r="AO63" s="40"/>
    </row>
    <row r="64" spans="1:41" x14ac:dyDescent="0.25">
      <c r="A64" s="102"/>
      <c r="B64" s="103"/>
      <c r="C64" s="102"/>
      <c r="D64" s="310"/>
      <c r="E64" s="310"/>
      <c r="F64" s="310"/>
      <c r="G64" s="311"/>
      <c r="H64" s="312"/>
      <c r="I64" s="147"/>
      <c r="J64" s="40"/>
      <c r="K64" s="40"/>
      <c r="L64" s="40"/>
      <c r="M64" s="40"/>
      <c r="N64" s="40"/>
      <c r="AJ64" s="40"/>
      <c r="AK64" s="40"/>
      <c r="AL64" s="40"/>
      <c r="AM64" s="40"/>
      <c r="AN64" s="40"/>
      <c r="AO64" s="40"/>
    </row>
    <row r="65" spans="1:41" x14ac:dyDescent="0.25">
      <c r="A65" s="102"/>
      <c r="B65" s="103"/>
      <c r="C65" s="102"/>
      <c r="D65" s="310"/>
      <c r="E65" s="310"/>
      <c r="F65" s="310"/>
      <c r="G65" s="311"/>
      <c r="H65" s="312"/>
      <c r="I65" s="147"/>
      <c r="J65" s="40"/>
      <c r="K65" s="40"/>
      <c r="L65" s="40"/>
      <c r="M65" s="40"/>
      <c r="N65" s="40"/>
      <c r="AJ65" s="40"/>
      <c r="AK65" s="40"/>
      <c r="AL65" s="40"/>
      <c r="AM65" s="40"/>
      <c r="AN65" s="40"/>
      <c r="AO65" s="40"/>
    </row>
    <row r="66" spans="1:41" x14ac:dyDescent="0.25">
      <c r="A66" s="102"/>
      <c r="B66" s="103"/>
      <c r="C66" s="102"/>
      <c r="D66" s="310"/>
      <c r="E66" s="310"/>
      <c r="F66" s="310"/>
      <c r="G66" s="311"/>
      <c r="H66" s="312"/>
      <c r="I66" s="147"/>
      <c r="J66" s="40"/>
      <c r="K66" s="40"/>
      <c r="L66" s="40"/>
      <c r="M66" s="40"/>
      <c r="N66" s="40"/>
      <c r="AJ66" s="40"/>
      <c r="AK66" s="40"/>
      <c r="AL66" s="40"/>
      <c r="AM66" s="40"/>
      <c r="AN66" s="40"/>
      <c r="AO66" s="40"/>
    </row>
    <row r="67" spans="1:41" x14ac:dyDescent="0.25">
      <c r="A67" s="102"/>
      <c r="B67" s="103"/>
      <c r="C67" s="102"/>
      <c r="D67" s="310"/>
      <c r="E67" s="310"/>
      <c r="F67" s="310"/>
      <c r="G67" s="311"/>
      <c r="H67" s="312"/>
      <c r="I67" s="147"/>
      <c r="J67" s="40"/>
      <c r="K67" s="40"/>
      <c r="L67" s="40"/>
      <c r="M67" s="40"/>
      <c r="N67" s="40"/>
      <c r="AJ67" s="40"/>
      <c r="AK67" s="40"/>
      <c r="AL67" s="40"/>
      <c r="AM67" s="40"/>
      <c r="AN67" s="40"/>
      <c r="AO67" s="40"/>
    </row>
    <row r="68" spans="1:41" x14ac:dyDescent="0.25">
      <c r="A68" s="102"/>
      <c r="B68" s="103"/>
      <c r="C68" s="102"/>
      <c r="D68" s="310"/>
      <c r="E68" s="310"/>
      <c r="F68" s="310"/>
      <c r="G68" s="311"/>
      <c r="H68" s="312"/>
      <c r="I68" s="147"/>
      <c r="J68" s="40"/>
      <c r="K68" s="40"/>
      <c r="L68" s="40"/>
      <c r="M68" s="40"/>
      <c r="N68" s="40"/>
      <c r="AJ68" s="40"/>
      <c r="AK68" s="40"/>
      <c r="AL68" s="40"/>
      <c r="AM68" s="40"/>
      <c r="AN68" s="40"/>
      <c r="AO68" s="40"/>
    </row>
    <row r="69" spans="1:41" x14ac:dyDescent="0.25">
      <c r="A69" s="102"/>
      <c r="B69" s="103"/>
      <c r="C69" s="102"/>
      <c r="D69" s="310"/>
      <c r="E69" s="310"/>
      <c r="F69" s="310"/>
      <c r="G69" s="311"/>
      <c r="H69" s="312"/>
      <c r="I69" s="147"/>
      <c r="J69" s="40"/>
      <c r="K69" s="40"/>
      <c r="L69" s="40"/>
      <c r="M69" s="40"/>
      <c r="N69" s="40"/>
      <c r="AJ69" s="40"/>
      <c r="AK69" s="40"/>
      <c r="AL69" s="40"/>
      <c r="AM69" s="40"/>
      <c r="AN69" s="40"/>
      <c r="AO69" s="40"/>
    </row>
    <row r="70" spans="1:41" x14ac:dyDescent="0.25">
      <c r="A70" s="102"/>
      <c r="B70" s="103"/>
      <c r="C70" s="102"/>
      <c r="D70" s="310"/>
      <c r="E70" s="310"/>
      <c r="F70" s="310"/>
      <c r="G70" s="311"/>
      <c r="H70" s="312"/>
      <c r="I70" s="147"/>
      <c r="J70" s="40"/>
      <c r="K70" s="40"/>
      <c r="L70" s="40"/>
      <c r="M70" s="40"/>
      <c r="N70" s="40"/>
      <c r="AJ70" s="40"/>
      <c r="AK70" s="40"/>
      <c r="AL70" s="40"/>
      <c r="AM70" s="40"/>
      <c r="AN70" s="40"/>
      <c r="AO70" s="40"/>
    </row>
    <row r="71" spans="1:41" x14ac:dyDescent="0.25">
      <c r="A71" s="102"/>
      <c r="B71" s="103"/>
      <c r="C71" s="102"/>
      <c r="D71" s="310"/>
      <c r="E71" s="310"/>
      <c r="F71" s="310"/>
      <c r="G71" s="311"/>
      <c r="H71" s="312"/>
      <c r="I71" s="147"/>
      <c r="J71" s="40"/>
      <c r="K71" s="40"/>
      <c r="L71" s="40"/>
      <c r="M71" s="40"/>
      <c r="N71" s="40"/>
      <c r="AJ71" s="40"/>
      <c r="AK71" s="40"/>
      <c r="AL71" s="40"/>
      <c r="AM71" s="40"/>
      <c r="AN71" s="40"/>
      <c r="AO71" s="40"/>
    </row>
    <row r="72" spans="1:41" x14ac:dyDescent="0.25">
      <c r="A72" s="313"/>
      <c r="B72" s="314"/>
      <c r="C72" s="313"/>
      <c r="D72" s="315"/>
      <c r="E72" s="315"/>
      <c r="F72" s="315"/>
      <c r="G72" s="316"/>
      <c r="H72" s="317"/>
      <c r="I72" s="147"/>
    </row>
    <row r="73" spans="1:41" x14ac:dyDescent="0.25">
      <c r="A73" s="313"/>
      <c r="B73" s="314"/>
      <c r="C73" s="313"/>
      <c r="D73" s="315"/>
      <c r="E73" s="315"/>
      <c r="F73" s="315"/>
      <c r="G73" s="316"/>
      <c r="H73" s="317"/>
      <c r="I73" s="147"/>
    </row>
    <row r="74" spans="1:41" x14ac:dyDescent="0.25">
      <c r="A74" s="313"/>
      <c r="B74" s="314"/>
      <c r="C74" s="313"/>
      <c r="D74" s="315"/>
      <c r="E74" s="315"/>
      <c r="F74" s="315"/>
      <c r="G74" s="316"/>
      <c r="H74" s="317"/>
      <c r="I74" s="147"/>
    </row>
    <row r="75" spans="1:41" x14ac:dyDescent="0.25">
      <c r="A75" s="313"/>
      <c r="B75" s="314"/>
      <c r="C75" s="313"/>
      <c r="D75" s="315"/>
      <c r="E75" s="315"/>
      <c r="F75" s="315"/>
      <c r="G75" s="316"/>
      <c r="H75" s="317"/>
      <c r="I75" s="147"/>
    </row>
    <row r="76" spans="1:41" x14ac:dyDescent="0.25">
      <c r="A76" s="313"/>
      <c r="B76" s="314"/>
      <c r="C76" s="313"/>
      <c r="D76" s="315"/>
      <c r="E76" s="315"/>
      <c r="F76" s="315"/>
      <c r="G76" s="316"/>
      <c r="H76" s="317"/>
      <c r="I76" s="147"/>
    </row>
    <row r="77" spans="1:41" x14ac:dyDescent="0.25">
      <c r="A77" s="313"/>
      <c r="B77" s="314"/>
      <c r="C77" s="313"/>
      <c r="D77" s="315"/>
      <c r="E77" s="315"/>
      <c r="F77" s="315"/>
      <c r="G77" s="316"/>
      <c r="H77" s="317"/>
      <c r="I77" s="147"/>
    </row>
    <row r="78" spans="1:41" x14ac:dyDescent="0.25">
      <c r="A78" s="313"/>
      <c r="B78" s="314"/>
      <c r="C78" s="313"/>
      <c r="D78" s="315"/>
      <c r="E78" s="315"/>
      <c r="F78" s="315"/>
      <c r="G78" s="316"/>
      <c r="H78" s="317"/>
      <c r="I78" s="147"/>
    </row>
    <row r="79" spans="1:41" x14ac:dyDescent="0.25">
      <c r="A79" s="313"/>
      <c r="B79" s="314"/>
      <c r="C79" s="313"/>
      <c r="D79" s="315"/>
      <c r="E79" s="315"/>
      <c r="F79" s="315"/>
      <c r="G79" s="316"/>
      <c r="H79" s="317"/>
      <c r="I79" s="147"/>
    </row>
    <row r="80" spans="1:41" x14ac:dyDescent="0.25">
      <c r="A80" s="313"/>
      <c r="B80" s="314"/>
      <c r="C80" s="313"/>
      <c r="D80" s="315"/>
      <c r="E80" s="315"/>
      <c r="F80" s="315"/>
      <c r="G80" s="316"/>
      <c r="H80" s="317"/>
      <c r="I80" s="147"/>
    </row>
    <row r="81" spans="1:9" x14ac:dyDescent="0.25">
      <c r="A81" s="313"/>
      <c r="B81" s="314"/>
      <c r="C81" s="313"/>
      <c r="D81" s="315"/>
      <c r="E81" s="315"/>
      <c r="F81" s="315"/>
      <c r="G81" s="316"/>
      <c r="H81" s="317"/>
      <c r="I81" s="147"/>
    </row>
    <row r="82" spans="1:9" x14ac:dyDescent="0.25">
      <c r="A82" s="313"/>
      <c r="B82" s="314"/>
      <c r="C82" s="313"/>
      <c r="D82" s="315"/>
      <c r="E82" s="315"/>
      <c r="F82" s="315"/>
      <c r="G82" s="316"/>
      <c r="H82" s="317"/>
      <c r="I82" s="147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619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8" sqref="B48"/>
    </sheetView>
  </sheetViews>
  <sheetFormatPr defaultColWidth="9.140625" defaultRowHeight="15.75" x14ac:dyDescent="0.25"/>
  <cols>
    <col min="1" max="1" width="7" style="96" customWidth="1"/>
    <col min="2" max="2" width="42.5703125" style="95" bestFit="1" customWidth="1"/>
    <col min="3" max="3" width="13.5703125" style="96" customWidth="1"/>
    <col min="4" max="4" width="11.28515625" style="131" customWidth="1"/>
    <col min="5" max="5" width="9.140625" style="94"/>
    <col min="6" max="6" width="13.28515625" style="94" customWidth="1"/>
    <col min="7" max="7" width="15" style="94" customWidth="1"/>
    <col min="8" max="8" width="13.140625" style="94" customWidth="1"/>
    <col min="9" max="9" width="10.5703125" style="94" customWidth="1"/>
    <col min="10" max="10" width="13" style="98" bestFit="1" customWidth="1"/>
    <col min="11" max="11" width="12.28515625" style="97" hidden="1" customWidth="1"/>
    <col min="12" max="12" width="11.5703125" style="94" customWidth="1"/>
    <col min="13" max="13" width="35.7109375" style="158" bestFit="1" customWidth="1"/>
    <col min="14" max="14" width="10.140625" style="159" bestFit="1" customWidth="1"/>
    <col min="15" max="15" width="14.7109375" style="158" customWidth="1"/>
    <col min="16" max="16" width="11.85546875" style="158" customWidth="1"/>
    <col min="17" max="17" width="13.28515625" style="158" customWidth="1"/>
    <col min="18" max="18" width="15.140625" style="158" customWidth="1"/>
    <col min="19" max="19" width="14.140625" style="94" customWidth="1"/>
    <col min="20" max="21" width="10.140625" style="94" customWidth="1"/>
    <col min="22" max="22" width="14.85546875" style="94" customWidth="1"/>
    <col min="23" max="23" width="9.140625" style="94"/>
    <col min="24" max="24" width="15" style="94" customWidth="1"/>
    <col min="25" max="25" width="12" style="94" customWidth="1"/>
    <col min="26" max="26" width="14" style="94" customWidth="1"/>
    <col min="27" max="27" width="15.140625" style="94" customWidth="1"/>
    <col min="28" max="28" width="13.85546875" style="94" customWidth="1"/>
    <col min="29" max="29" width="9" style="94" customWidth="1"/>
    <col min="30" max="30" width="9.28515625" style="94" customWidth="1"/>
    <col min="31" max="31" width="14.85546875" style="94" customWidth="1"/>
    <col min="32" max="32" width="10.140625" style="94" customWidth="1"/>
    <col min="33" max="33" width="14.7109375" style="94" customWidth="1"/>
    <col min="34" max="34" width="11.5703125" style="94" customWidth="1"/>
    <col min="35" max="36" width="15.85546875" style="94" customWidth="1"/>
    <col min="37" max="37" width="12.85546875" style="160" customWidth="1"/>
    <col min="38" max="39" width="9.140625" style="160"/>
    <col min="40" max="16384" width="9.140625" style="88"/>
  </cols>
  <sheetData>
    <row r="1" spans="1:141" ht="18.75" x14ac:dyDescent="0.25">
      <c r="A1" s="413" t="s">
        <v>124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161"/>
      <c r="M1" s="162"/>
      <c r="N1" s="163"/>
      <c r="O1" s="162"/>
      <c r="P1" s="162"/>
      <c r="Q1" s="162"/>
      <c r="R1" s="162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</row>
    <row r="2" spans="1:141" s="89" customFormat="1" ht="55.5" customHeight="1" x14ac:dyDescent="0.2">
      <c r="A2" s="261" t="s">
        <v>86</v>
      </c>
      <c r="B2" s="261" t="s">
        <v>87</v>
      </c>
      <c r="C2" s="261" t="s">
        <v>10</v>
      </c>
      <c r="D2" s="262" t="s">
        <v>1207</v>
      </c>
      <c r="E2" s="262" t="s">
        <v>88</v>
      </c>
      <c r="F2" s="262" t="s">
        <v>125</v>
      </c>
      <c r="G2" s="262" t="s">
        <v>126</v>
      </c>
      <c r="H2" s="262" t="s">
        <v>127</v>
      </c>
      <c r="I2" s="262" t="s">
        <v>128</v>
      </c>
      <c r="J2" s="262" t="s">
        <v>657</v>
      </c>
      <c r="K2" s="290" t="s">
        <v>122</v>
      </c>
      <c r="L2" s="165"/>
      <c r="M2" s="165"/>
      <c r="N2" s="166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7"/>
      <c r="CV2" s="167"/>
      <c r="CW2" s="167"/>
      <c r="CX2" s="167"/>
      <c r="CY2" s="167"/>
      <c r="CZ2" s="167"/>
      <c r="DA2" s="167"/>
      <c r="DB2" s="167"/>
      <c r="DC2" s="167"/>
      <c r="DD2" s="167"/>
      <c r="DE2" s="167"/>
      <c r="DF2" s="167"/>
      <c r="DG2" s="167"/>
      <c r="DH2" s="167"/>
      <c r="DI2" s="167"/>
      <c r="DJ2" s="167"/>
      <c r="DK2" s="167"/>
      <c r="DL2" s="167"/>
      <c r="DM2" s="167"/>
      <c r="DN2" s="167"/>
      <c r="DO2" s="167"/>
      <c r="DP2" s="167"/>
      <c r="DQ2" s="167"/>
      <c r="DR2" s="167"/>
      <c r="DS2" s="167"/>
      <c r="DT2" s="167"/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F2" s="167"/>
      <c r="EG2" s="167"/>
      <c r="EH2" s="167"/>
      <c r="EI2" s="167"/>
      <c r="EJ2" s="167"/>
      <c r="EK2" s="167"/>
    </row>
    <row r="3" spans="1:141" s="90" customFormat="1" ht="20.25" customHeight="1" x14ac:dyDescent="0.2">
      <c r="A3" s="263"/>
      <c r="B3" s="264" t="s">
        <v>108</v>
      </c>
      <c r="C3" s="263"/>
      <c r="D3" s="265">
        <f>+'TỔNG HỢP'!F3</f>
        <v>723.276295</v>
      </c>
      <c r="E3" s="265">
        <f>+E4+E90+E193+E337</f>
        <v>100.00108699815746</v>
      </c>
      <c r="F3" s="265">
        <f>+G3*100/D3</f>
        <v>37.244591985418239</v>
      </c>
      <c r="G3" s="265">
        <f>+G4+G90+G193+G337</f>
        <v>269.381305</v>
      </c>
      <c r="H3" s="265"/>
      <c r="I3" s="265"/>
      <c r="J3" s="265"/>
      <c r="K3" s="290">
        <f>ROUND(+K4+K90+K193+K337,-1)</f>
        <v>47400</v>
      </c>
      <c r="L3" s="166">
        <f>+K14+K113+K215</f>
        <v>10507.926112900966</v>
      </c>
      <c r="M3" s="166">
        <f>+L3+L4+O3</f>
        <v>47370.547530260854</v>
      </c>
      <c r="N3" s="166">
        <f>+N11+N96+N98+N100+N199+N201+N343</f>
        <v>19842</v>
      </c>
      <c r="O3" s="166">
        <f>+N3+N4</f>
        <v>33781.607142857145</v>
      </c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8"/>
      <c r="AL3" s="169"/>
      <c r="AM3" s="169"/>
    </row>
    <row r="4" spans="1:141" s="90" customFormat="1" ht="20.25" customHeight="1" x14ac:dyDescent="0.2">
      <c r="A4" s="263" t="s">
        <v>134</v>
      </c>
      <c r="B4" s="264" t="s">
        <v>123</v>
      </c>
      <c r="C4" s="263"/>
      <c r="D4" s="265">
        <f>1589335.92/10000</f>
        <v>158.933592</v>
      </c>
      <c r="E4" s="265">
        <f>+D4/$D$3*100</f>
        <v>21.974118756373731</v>
      </c>
      <c r="F4" s="265">
        <f>+G4*100/D4</f>
        <v>28.81917184631428</v>
      </c>
      <c r="G4" s="265">
        <f>+G5+G48</f>
        <v>45.803345000000007</v>
      </c>
      <c r="H4" s="265"/>
      <c r="I4" s="265"/>
      <c r="J4" s="265"/>
      <c r="K4" s="290">
        <f>+K6</f>
        <v>3384.7500000000005</v>
      </c>
      <c r="L4" s="166">
        <f>+K357</f>
        <v>3081.0142745027379</v>
      </c>
      <c r="M4" s="165"/>
      <c r="N4" s="166">
        <f>+N8+N94+N197+N341</f>
        <v>13939.607142857145</v>
      </c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8"/>
      <c r="AL4" s="169"/>
      <c r="AM4" s="169"/>
    </row>
    <row r="5" spans="1:141" s="91" customFormat="1" ht="20.25" customHeight="1" x14ac:dyDescent="0.2">
      <c r="A5" s="263" t="s">
        <v>606</v>
      </c>
      <c r="B5" s="264" t="s">
        <v>594</v>
      </c>
      <c r="C5" s="263"/>
      <c r="D5" s="265">
        <f>D6+D41</f>
        <v>42.615699999999997</v>
      </c>
      <c r="E5" s="265">
        <f>+D5/$D$3*100</f>
        <v>5.8920360441233592</v>
      </c>
      <c r="F5" s="265">
        <f>+G5*100/D5</f>
        <v>40.825951468590219</v>
      </c>
      <c r="G5" s="265">
        <f>+G6+G41</f>
        <v>17.398265000000002</v>
      </c>
      <c r="H5" s="265"/>
      <c r="I5" s="265"/>
      <c r="J5" s="265"/>
      <c r="K5" s="290"/>
      <c r="L5" s="170"/>
      <c r="M5" s="170"/>
      <c r="N5" s="171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2"/>
      <c r="AL5" s="173"/>
      <c r="AM5" s="173"/>
    </row>
    <row r="6" spans="1:141" s="56" customFormat="1" x14ac:dyDescent="0.2">
      <c r="A6" s="261">
        <v>1</v>
      </c>
      <c r="B6" s="266" t="s">
        <v>593</v>
      </c>
      <c r="C6" s="261"/>
      <c r="D6" s="267">
        <f>+D7+D14+D35+D36+D38</f>
        <v>28.381899999999998</v>
      </c>
      <c r="E6" s="265">
        <f t="shared" ref="E6:E82" si="0">+D6/$D$3*100</f>
        <v>3.9240744092131483</v>
      </c>
      <c r="F6" s="267">
        <f>+G6*100/D6</f>
        <v>58.793015971446593</v>
      </c>
      <c r="G6" s="267">
        <f>+G7+G14+G35+G36+G38</f>
        <v>16.686575000000001</v>
      </c>
      <c r="H6" s="267"/>
      <c r="I6" s="267"/>
      <c r="J6" s="267"/>
      <c r="K6" s="291">
        <f>+K7+K14</f>
        <v>3384.7500000000005</v>
      </c>
      <c r="L6" s="174"/>
      <c r="M6" s="176">
        <f>+M8+M94+M197</f>
        <v>35.710900000000009</v>
      </c>
      <c r="N6" s="174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7"/>
      <c r="AL6" s="177"/>
      <c r="AM6" s="177"/>
    </row>
    <row r="7" spans="1:141" s="54" customFormat="1" x14ac:dyDescent="0.25">
      <c r="A7" s="269">
        <v>1.1000000000000001</v>
      </c>
      <c r="B7" s="270" t="s">
        <v>89</v>
      </c>
      <c r="C7" s="269"/>
      <c r="D7" s="271">
        <f>+D8</f>
        <v>6.1418000000000008</v>
      </c>
      <c r="E7" s="292">
        <f t="shared" si="0"/>
        <v>0.8491637348628992</v>
      </c>
      <c r="F7" s="271">
        <v>60</v>
      </c>
      <c r="G7" s="271">
        <f t="shared" ref="G7" si="1">+D7*F7/100</f>
        <v>3.6850800000000006</v>
      </c>
      <c r="H7" s="271">
        <f>+G7*J7</f>
        <v>25.795560000000005</v>
      </c>
      <c r="I7" s="271">
        <f>+H7/D7</f>
        <v>4.2</v>
      </c>
      <c r="J7" s="271">
        <v>7</v>
      </c>
      <c r="K7" s="293">
        <f>+N8+N11</f>
        <v>1818.7500000000005</v>
      </c>
      <c r="L7" s="178"/>
      <c r="M7" s="180"/>
      <c r="N7" s="178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1"/>
      <c r="AL7" s="181"/>
      <c r="AM7" s="181"/>
    </row>
    <row r="8" spans="1:141" x14ac:dyDescent="0.25">
      <c r="A8" s="272" t="s">
        <v>707</v>
      </c>
      <c r="B8" s="273" t="s">
        <v>36</v>
      </c>
      <c r="C8" s="272"/>
      <c r="D8" s="275">
        <f>+SUM(D9:D13)</f>
        <v>6.1418000000000008</v>
      </c>
      <c r="E8" s="294">
        <f t="shared" si="0"/>
        <v>0.8491637348628992</v>
      </c>
      <c r="F8" s="275">
        <v>60</v>
      </c>
      <c r="G8" s="275">
        <f t="shared" ref="G8:G13" si="2">+D8*F8/100</f>
        <v>3.6850800000000006</v>
      </c>
      <c r="H8" s="275">
        <f>+G8*J8</f>
        <v>25.795560000000005</v>
      </c>
      <c r="I8" s="275">
        <f>+H8/D8</f>
        <v>4.2</v>
      </c>
      <c r="J8" s="275">
        <v>7</v>
      </c>
      <c r="K8" s="295"/>
      <c r="L8" s="158"/>
      <c r="M8" s="158">
        <f>+D8-M11</f>
        <v>3.0541000000000009</v>
      </c>
      <c r="N8" s="159">
        <f>+M8*10000/28</f>
        <v>1090.7500000000005</v>
      </c>
      <c r="Q8" s="158">
        <v>16390</v>
      </c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82"/>
      <c r="AL8" s="182"/>
      <c r="AM8" s="182"/>
    </row>
    <row r="9" spans="1:141" hidden="1" x14ac:dyDescent="0.25">
      <c r="A9" s="274"/>
      <c r="B9" s="278"/>
      <c r="C9" s="274" t="s">
        <v>468</v>
      </c>
      <c r="D9" s="276">
        <v>1.5847</v>
      </c>
      <c r="E9" s="279">
        <f t="shared" si="0"/>
        <v>0.21910022642177152</v>
      </c>
      <c r="F9" s="276">
        <v>60</v>
      </c>
      <c r="G9" s="276">
        <f t="shared" si="2"/>
        <v>0.95081999999999989</v>
      </c>
      <c r="H9" s="276">
        <f>+G9*J9</f>
        <v>6.6557399999999989</v>
      </c>
      <c r="I9" s="276">
        <f>+H9/D9</f>
        <v>4.1999999999999993</v>
      </c>
      <c r="J9" s="276">
        <v>7</v>
      </c>
      <c r="K9" s="296"/>
      <c r="L9" s="158"/>
      <c r="M9" s="155"/>
      <c r="N9" s="198"/>
      <c r="Q9" s="158">
        <f>+M3-Q8</f>
        <v>30980.547530260854</v>
      </c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82"/>
      <c r="AL9" s="182"/>
      <c r="AM9" s="182"/>
    </row>
    <row r="10" spans="1:141" hidden="1" x14ac:dyDescent="0.25">
      <c r="A10" s="274"/>
      <c r="B10" s="278"/>
      <c r="C10" s="274" t="s">
        <v>466</v>
      </c>
      <c r="D10" s="276">
        <v>1.3108</v>
      </c>
      <c r="E10" s="279">
        <f t="shared" si="0"/>
        <v>0.18123088079362534</v>
      </c>
      <c r="F10" s="276">
        <v>60</v>
      </c>
      <c r="G10" s="276">
        <f t="shared" si="2"/>
        <v>0.78647999999999996</v>
      </c>
      <c r="H10" s="276">
        <f t="shared" ref="H10:H13" si="3">+G10*J10</f>
        <v>5.5053599999999996</v>
      </c>
      <c r="I10" s="276">
        <f t="shared" ref="I10:I71" si="4">+H10/D10</f>
        <v>4.2</v>
      </c>
      <c r="J10" s="276">
        <v>7</v>
      </c>
      <c r="K10" s="296"/>
      <c r="L10" s="158"/>
      <c r="M10" s="183" t="s">
        <v>645</v>
      </c>
      <c r="N10" s="17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82"/>
      <c r="AL10" s="182"/>
      <c r="AM10" s="182"/>
    </row>
    <row r="11" spans="1:141" hidden="1" x14ac:dyDescent="0.25">
      <c r="A11" s="274"/>
      <c r="B11" s="278"/>
      <c r="C11" s="274" t="s">
        <v>464</v>
      </c>
      <c r="D11" s="276">
        <v>1.1560999999999999</v>
      </c>
      <c r="E11" s="279">
        <f t="shared" si="0"/>
        <v>0.15984209741036789</v>
      </c>
      <c r="F11" s="276">
        <v>60</v>
      </c>
      <c r="G11" s="276">
        <f t="shared" si="2"/>
        <v>0.69365999999999994</v>
      </c>
      <c r="H11" s="276">
        <f t="shared" si="3"/>
        <v>4.85562</v>
      </c>
      <c r="I11" s="276">
        <f t="shared" si="4"/>
        <v>4.2</v>
      </c>
      <c r="J11" s="276">
        <v>7</v>
      </c>
      <c r="K11" s="296"/>
      <c r="L11" s="158"/>
      <c r="M11" s="158">
        <f>+D9+D13</f>
        <v>3.0876999999999999</v>
      </c>
      <c r="N11" s="159">
        <v>728</v>
      </c>
      <c r="O11" s="158">
        <f>+N11/4</f>
        <v>182</v>
      </c>
      <c r="P11" s="158">
        <f>+O11*3</f>
        <v>546</v>
      </c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82"/>
      <c r="AL11" s="182"/>
      <c r="AM11" s="182"/>
    </row>
    <row r="12" spans="1:141" hidden="1" x14ac:dyDescent="0.25">
      <c r="A12" s="274"/>
      <c r="B12" s="278"/>
      <c r="C12" s="274" t="s">
        <v>462</v>
      </c>
      <c r="D12" s="276">
        <v>0.58720000000000006</v>
      </c>
      <c r="E12" s="279">
        <f t="shared" si="0"/>
        <v>8.1186125421129698E-2</v>
      </c>
      <c r="F12" s="276">
        <v>60</v>
      </c>
      <c r="G12" s="276">
        <f t="shared" si="2"/>
        <v>0.35232000000000008</v>
      </c>
      <c r="H12" s="276">
        <f t="shared" si="3"/>
        <v>2.4662400000000004</v>
      </c>
      <c r="I12" s="276">
        <f t="shared" si="4"/>
        <v>4.2</v>
      </c>
      <c r="J12" s="276">
        <v>7</v>
      </c>
      <c r="K12" s="296"/>
      <c r="L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82"/>
      <c r="AL12" s="182"/>
      <c r="AM12" s="182"/>
    </row>
    <row r="13" spans="1:141" hidden="1" x14ac:dyDescent="0.25">
      <c r="A13" s="274"/>
      <c r="B13" s="278"/>
      <c r="C13" s="274" t="s">
        <v>460</v>
      </c>
      <c r="D13" s="276">
        <v>1.5029999999999999</v>
      </c>
      <c r="E13" s="279">
        <f t="shared" si="0"/>
        <v>0.20780440481600465</v>
      </c>
      <c r="F13" s="276">
        <v>60</v>
      </c>
      <c r="G13" s="276">
        <f t="shared" si="2"/>
        <v>0.90179999999999993</v>
      </c>
      <c r="H13" s="276">
        <f t="shared" si="3"/>
        <v>6.3125999999999998</v>
      </c>
      <c r="I13" s="276">
        <f t="shared" si="4"/>
        <v>4.2</v>
      </c>
      <c r="J13" s="276">
        <v>7</v>
      </c>
      <c r="K13" s="296"/>
      <c r="L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82"/>
      <c r="AL13" s="182"/>
      <c r="AM13" s="182"/>
    </row>
    <row r="14" spans="1:141" s="54" customFormat="1" x14ac:dyDescent="0.25">
      <c r="A14" s="269">
        <v>1.2</v>
      </c>
      <c r="B14" s="270" t="s">
        <v>90</v>
      </c>
      <c r="C14" s="269"/>
      <c r="D14" s="271">
        <f>+SUM(D15:D34)</f>
        <v>21.031799999999997</v>
      </c>
      <c r="E14" s="292">
        <f t="shared" si="0"/>
        <v>2.9078514179702237</v>
      </c>
      <c r="F14" s="271">
        <v>60</v>
      </c>
      <c r="G14" s="271">
        <f>+D14*F14/100</f>
        <v>12.619079999999999</v>
      </c>
      <c r="H14" s="271">
        <f>+G14*J14</f>
        <v>88.333559999999991</v>
      </c>
      <c r="I14" s="271">
        <f t="shared" si="4"/>
        <v>4.2</v>
      </c>
      <c r="J14" s="271">
        <v>7</v>
      </c>
      <c r="K14" s="293">
        <v>1566</v>
      </c>
      <c r="L14" s="157"/>
      <c r="M14" s="180"/>
      <c r="N14" s="178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1"/>
      <c r="AL14" s="181"/>
      <c r="AM14" s="181"/>
    </row>
    <row r="15" spans="1:141" s="54" customFormat="1" hidden="1" x14ac:dyDescent="0.25">
      <c r="A15" s="269"/>
      <c r="B15" s="270"/>
      <c r="C15" s="274" t="s">
        <v>584</v>
      </c>
      <c r="D15" s="276">
        <v>0.1</v>
      </c>
      <c r="E15" s="279">
        <f t="shared" ref="E15" si="5">+D15/$D$3*100</f>
        <v>1.3825975037658327E-2</v>
      </c>
      <c r="F15" s="276">
        <v>60</v>
      </c>
      <c r="G15" s="276">
        <f>+D15*F15/100</f>
        <v>0.06</v>
      </c>
      <c r="H15" s="276">
        <f>+G15*J15</f>
        <v>0.42</v>
      </c>
      <c r="I15" s="276">
        <f t="shared" si="4"/>
        <v>4.1999999999999993</v>
      </c>
      <c r="J15" s="276">
        <v>7</v>
      </c>
      <c r="K15" s="293"/>
      <c r="L15" s="157"/>
      <c r="M15" s="180"/>
      <c r="N15" s="178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1"/>
      <c r="AL15" s="181"/>
      <c r="AM15" s="181"/>
    </row>
    <row r="16" spans="1:141" s="54" customFormat="1" hidden="1" x14ac:dyDescent="0.25">
      <c r="A16" s="269"/>
      <c r="B16" s="270"/>
      <c r="C16" s="274" t="s">
        <v>580</v>
      </c>
      <c r="D16" s="276">
        <v>0.17</v>
      </c>
      <c r="E16" s="279">
        <f t="shared" ref="E16:E17" si="6">+D16/$D$3*100</f>
        <v>2.3504157564019156E-2</v>
      </c>
      <c r="F16" s="276">
        <v>60</v>
      </c>
      <c r="G16" s="276">
        <f t="shared" ref="G16:G17" si="7">+D16*F16/100</f>
        <v>0.10200000000000001</v>
      </c>
      <c r="H16" s="276">
        <f t="shared" ref="H16:H17" si="8">+G16*J16</f>
        <v>0.71400000000000008</v>
      </c>
      <c r="I16" s="276">
        <f t="shared" si="4"/>
        <v>4.2</v>
      </c>
      <c r="J16" s="276">
        <v>7</v>
      </c>
      <c r="K16" s="293"/>
      <c r="L16" s="157"/>
      <c r="M16" s="180"/>
      <c r="N16" s="178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1"/>
      <c r="AL16" s="181"/>
      <c r="AM16" s="181"/>
    </row>
    <row r="17" spans="1:39" s="54" customFormat="1" hidden="1" x14ac:dyDescent="0.25">
      <c r="A17" s="269"/>
      <c r="B17" s="270"/>
      <c r="C17" s="274" t="s">
        <v>582</v>
      </c>
      <c r="D17" s="276">
        <v>0.06</v>
      </c>
      <c r="E17" s="279">
        <f t="shared" si="6"/>
        <v>8.2955850225949947E-3</v>
      </c>
      <c r="F17" s="276">
        <v>60</v>
      </c>
      <c r="G17" s="276">
        <f t="shared" si="7"/>
        <v>3.5999999999999997E-2</v>
      </c>
      <c r="H17" s="276">
        <f t="shared" si="8"/>
        <v>0.252</v>
      </c>
      <c r="I17" s="276">
        <f t="shared" si="4"/>
        <v>4.2</v>
      </c>
      <c r="J17" s="276">
        <v>7</v>
      </c>
      <c r="K17" s="293"/>
      <c r="L17" s="157"/>
      <c r="M17" s="180"/>
      <c r="N17" s="178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1"/>
      <c r="AL17" s="181"/>
      <c r="AM17" s="181"/>
    </row>
    <row r="18" spans="1:39" s="54" customFormat="1" hidden="1" x14ac:dyDescent="0.25">
      <c r="A18" s="269"/>
      <c r="B18" s="270"/>
      <c r="C18" s="274" t="s">
        <v>578</v>
      </c>
      <c r="D18" s="276">
        <v>0.31</v>
      </c>
      <c r="E18" s="279">
        <f t="shared" ref="E18" si="9">+D18/$D$3*100</f>
        <v>4.2860522616740816E-2</v>
      </c>
      <c r="F18" s="276">
        <v>60</v>
      </c>
      <c r="G18" s="276">
        <f t="shared" ref="G18" si="10">+D18*F18/100</f>
        <v>0.18600000000000003</v>
      </c>
      <c r="H18" s="276">
        <f>+G18*J18</f>
        <v>1.3020000000000003</v>
      </c>
      <c r="I18" s="276">
        <f t="shared" si="4"/>
        <v>4.2000000000000011</v>
      </c>
      <c r="J18" s="276">
        <v>7</v>
      </c>
      <c r="K18" s="293"/>
      <c r="L18" s="157"/>
      <c r="M18" s="180"/>
      <c r="N18" s="178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1"/>
      <c r="AL18" s="181"/>
      <c r="AM18" s="181"/>
    </row>
    <row r="19" spans="1:39" hidden="1" x14ac:dyDescent="0.25">
      <c r="A19" s="274"/>
      <c r="B19" s="278"/>
      <c r="C19" s="274" t="s">
        <v>576</v>
      </c>
      <c r="D19" s="276">
        <v>0.25</v>
      </c>
      <c r="E19" s="279">
        <f t="shared" si="0"/>
        <v>3.4564937594145813E-2</v>
      </c>
      <c r="F19" s="276">
        <v>60</v>
      </c>
      <c r="G19" s="276">
        <f>+D19*F19/100</f>
        <v>0.15</v>
      </c>
      <c r="H19" s="276">
        <f>+G19*J19</f>
        <v>1.05</v>
      </c>
      <c r="I19" s="276">
        <f t="shared" si="4"/>
        <v>4.2</v>
      </c>
      <c r="J19" s="276">
        <v>7</v>
      </c>
      <c r="K19" s="296"/>
      <c r="L19" s="158"/>
      <c r="P19" s="158">
        <v>35.71</v>
      </c>
      <c r="Q19" s="158">
        <f>+P19*357.142857142857</f>
        <v>12753.571428571424</v>
      </c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82"/>
      <c r="AL19" s="182"/>
      <c r="AM19" s="182"/>
    </row>
    <row r="20" spans="1:39" hidden="1" x14ac:dyDescent="0.25">
      <c r="A20" s="274"/>
      <c r="B20" s="278"/>
      <c r="C20" s="274" t="s">
        <v>568</v>
      </c>
      <c r="D20" s="276">
        <v>0.64</v>
      </c>
      <c r="E20" s="279">
        <f t="shared" si="0"/>
        <v>8.8486240241013286E-2</v>
      </c>
      <c r="F20" s="276">
        <v>60</v>
      </c>
      <c r="G20" s="276">
        <f t="shared" ref="G20:G35" si="11">+D20*F20/100</f>
        <v>0.38400000000000001</v>
      </c>
      <c r="H20" s="276">
        <f t="shared" ref="H20:H32" si="12">+G20*J20</f>
        <v>2.6880000000000002</v>
      </c>
      <c r="I20" s="276">
        <f t="shared" si="4"/>
        <v>4.2</v>
      </c>
      <c r="J20" s="276">
        <v>7</v>
      </c>
      <c r="K20" s="296"/>
      <c r="L20" s="158"/>
      <c r="Q20" s="158">
        <f>+N3+Q19</f>
        <v>32595.571428571424</v>
      </c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82"/>
      <c r="AL20" s="182"/>
      <c r="AM20" s="182"/>
    </row>
    <row r="21" spans="1:39" hidden="1" x14ac:dyDescent="0.25">
      <c r="A21" s="274"/>
      <c r="B21" s="278"/>
      <c r="C21" s="274" t="s">
        <v>574</v>
      </c>
      <c r="D21" s="276">
        <v>2.89</v>
      </c>
      <c r="E21" s="279">
        <f t="shared" si="0"/>
        <v>0.39957067858832568</v>
      </c>
      <c r="F21" s="276">
        <v>60</v>
      </c>
      <c r="G21" s="276">
        <f t="shared" si="11"/>
        <v>1.734</v>
      </c>
      <c r="H21" s="276">
        <f t="shared" si="12"/>
        <v>12.138</v>
      </c>
      <c r="I21" s="276">
        <f t="shared" si="4"/>
        <v>4.2</v>
      </c>
      <c r="J21" s="276">
        <v>7</v>
      </c>
      <c r="K21" s="296"/>
      <c r="L21" s="158"/>
      <c r="Q21" s="158">
        <f>+Q20+L3</f>
        <v>43103.497541472389</v>
      </c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82"/>
      <c r="AL21" s="182"/>
      <c r="AM21" s="182"/>
    </row>
    <row r="22" spans="1:39" hidden="1" x14ac:dyDescent="0.25">
      <c r="A22" s="274"/>
      <c r="B22" s="278"/>
      <c r="C22" s="274" t="s">
        <v>570</v>
      </c>
      <c r="D22" s="276">
        <v>0.48</v>
      </c>
      <c r="E22" s="279">
        <f t="shared" si="0"/>
        <v>6.6364680180759958E-2</v>
      </c>
      <c r="F22" s="276">
        <v>60</v>
      </c>
      <c r="G22" s="276">
        <f t="shared" si="11"/>
        <v>0.28799999999999998</v>
      </c>
      <c r="H22" s="276">
        <f t="shared" si="12"/>
        <v>2.016</v>
      </c>
      <c r="I22" s="276">
        <f t="shared" si="4"/>
        <v>4.2</v>
      </c>
      <c r="J22" s="276">
        <v>7</v>
      </c>
      <c r="K22" s="296"/>
      <c r="L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82"/>
      <c r="AL22" s="182"/>
      <c r="AM22" s="182"/>
    </row>
    <row r="23" spans="1:39" hidden="1" x14ac:dyDescent="0.25">
      <c r="A23" s="274"/>
      <c r="B23" s="278"/>
      <c r="C23" s="274" t="s">
        <v>572</v>
      </c>
      <c r="D23" s="276">
        <v>1.31</v>
      </c>
      <c r="E23" s="279">
        <f t="shared" si="0"/>
        <v>0.18112027299332409</v>
      </c>
      <c r="F23" s="276">
        <v>60</v>
      </c>
      <c r="G23" s="276">
        <f t="shared" si="11"/>
        <v>0.78600000000000003</v>
      </c>
      <c r="H23" s="276">
        <f t="shared" si="12"/>
        <v>5.5020000000000007</v>
      </c>
      <c r="I23" s="276">
        <f t="shared" si="4"/>
        <v>4.2</v>
      </c>
      <c r="J23" s="276">
        <v>7</v>
      </c>
      <c r="K23" s="296"/>
      <c r="L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82"/>
      <c r="AL23" s="182"/>
      <c r="AM23" s="182"/>
    </row>
    <row r="24" spans="1:39" hidden="1" x14ac:dyDescent="0.25">
      <c r="A24" s="274"/>
      <c r="B24" s="278"/>
      <c r="C24" s="274" t="s">
        <v>566</v>
      </c>
      <c r="D24" s="276">
        <v>0.3</v>
      </c>
      <c r="E24" s="279">
        <f t="shared" si="0"/>
        <v>4.1477925112974982E-2</v>
      </c>
      <c r="F24" s="276">
        <v>60</v>
      </c>
      <c r="G24" s="276">
        <f t="shared" si="11"/>
        <v>0.18</v>
      </c>
      <c r="H24" s="276">
        <f t="shared" si="12"/>
        <v>1.26</v>
      </c>
      <c r="I24" s="276">
        <f t="shared" si="4"/>
        <v>4.2</v>
      </c>
      <c r="J24" s="276">
        <v>7</v>
      </c>
      <c r="K24" s="296"/>
      <c r="L24" s="158"/>
      <c r="O24" s="158">
        <v>142.78</v>
      </c>
      <c r="P24" s="210">
        <v>10508</v>
      </c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82"/>
      <c r="AL24" s="182"/>
      <c r="AM24" s="182"/>
    </row>
    <row r="25" spans="1:39" hidden="1" x14ac:dyDescent="0.25">
      <c r="A25" s="274"/>
      <c r="B25" s="278"/>
      <c r="C25" s="274" t="s">
        <v>564</v>
      </c>
      <c r="D25" s="276">
        <v>1.61</v>
      </c>
      <c r="E25" s="279">
        <f t="shared" si="0"/>
        <v>0.22259819810629905</v>
      </c>
      <c r="F25" s="276">
        <v>60</v>
      </c>
      <c r="G25" s="276">
        <f t="shared" si="11"/>
        <v>0.96600000000000008</v>
      </c>
      <c r="H25" s="276">
        <f t="shared" si="12"/>
        <v>6.7620000000000005</v>
      </c>
      <c r="I25" s="276">
        <f t="shared" si="4"/>
        <v>4.2</v>
      </c>
      <c r="J25" s="276">
        <v>7</v>
      </c>
      <c r="K25" s="296"/>
      <c r="L25" s="158"/>
      <c r="O25" s="158">
        <f>+D14</f>
        <v>21.031799999999997</v>
      </c>
      <c r="P25" s="211">
        <f>+O25*P24/O24</f>
        <v>1547.8509202969601</v>
      </c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82"/>
      <c r="AL25" s="182"/>
      <c r="AM25" s="182"/>
    </row>
    <row r="26" spans="1:39" hidden="1" x14ac:dyDescent="0.25">
      <c r="A26" s="274"/>
      <c r="B26" s="278"/>
      <c r="C26" s="274" t="s">
        <v>562</v>
      </c>
      <c r="D26" s="276">
        <v>0.64</v>
      </c>
      <c r="E26" s="279">
        <f t="shared" si="0"/>
        <v>8.8486240241013286E-2</v>
      </c>
      <c r="F26" s="276">
        <v>60</v>
      </c>
      <c r="G26" s="276">
        <f t="shared" si="11"/>
        <v>0.38400000000000001</v>
      </c>
      <c r="H26" s="276">
        <f t="shared" si="12"/>
        <v>2.6880000000000002</v>
      </c>
      <c r="I26" s="276">
        <f t="shared" si="4"/>
        <v>4.2</v>
      </c>
      <c r="J26" s="276">
        <v>7</v>
      </c>
      <c r="K26" s="296"/>
      <c r="L26" s="158"/>
      <c r="O26" s="158">
        <f>+D113</f>
        <v>49.389800000000001</v>
      </c>
      <c r="P26" s="211">
        <f>+O26*P24/O24</f>
        <v>3634.8789634402578</v>
      </c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82"/>
      <c r="AL26" s="182"/>
      <c r="AM26" s="182"/>
    </row>
    <row r="27" spans="1:39" hidden="1" x14ac:dyDescent="0.25">
      <c r="A27" s="274"/>
      <c r="B27" s="278"/>
      <c r="C27" s="274" t="s">
        <v>560</v>
      </c>
      <c r="D27" s="276">
        <v>1.5259</v>
      </c>
      <c r="E27" s="279">
        <f t="shared" si="0"/>
        <v>0.21097055309962842</v>
      </c>
      <c r="F27" s="276">
        <v>60</v>
      </c>
      <c r="G27" s="276">
        <f t="shared" si="11"/>
        <v>0.91554000000000002</v>
      </c>
      <c r="H27" s="276">
        <f t="shared" si="12"/>
        <v>6.4087800000000001</v>
      </c>
      <c r="I27" s="276">
        <f t="shared" si="4"/>
        <v>4.2</v>
      </c>
      <c r="J27" s="276">
        <v>7</v>
      </c>
      <c r="K27" s="296"/>
      <c r="L27" s="158"/>
      <c r="O27" s="158">
        <f>+D215</f>
        <v>72.277000000000001</v>
      </c>
      <c r="P27" s="211">
        <f>+O27*P24/O24</f>
        <v>5319.2794228883595</v>
      </c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82"/>
      <c r="AL27" s="182"/>
      <c r="AM27" s="182"/>
    </row>
    <row r="28" spans="1:39" hidden="1" x14ac:dyDescent="0.25">
      <c r="A28" s="274"/>
      <c r="B28" s="278"/>
      <c r="C28" s="274" t="s">
        <v>558</v>
      </c>
      <c r="D28" s="276">
        <v>0.85</v>
      </c>
      <c r="E28" s="279">
        <f t="shared" si="0"/>
        <v>0.11752078782009577</v>
      </c>
      <c r="F28" s="276">
        <v>60</v>
      </c>
      <c r="G28" s="276">
        <f t="shared" si="11"/>
        <v>0.51</v>
      </c>
      <c r="H28" s="276">
        <f t="shared" si="12"/>
        <v>3.5700000000000003</v>
      </c>
      <c r="I28" s="276">
        <f t="shared" si="4"/>
        <v>4.2</v>
      </c>
      <c r="J28" s="276">
        <v>7</v>
      </c>
      <c r="K28" s="296"/>
      <c r="L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8"/>
      <c r="AD28" s="158"/>
      <c r="AE28" s="158"/>
      <c r="AF28" s="158"/>
      <c r="AG28" s="158"/>
      <c r="AH28" s="158"/>
      <c r="AI28" s="158"/>
      <c r="AJ28" s="158"/>
      <c r="AK28" s="182"/>
      <c r="AL28" s="182"/>
      <c r="AM28" s="182"/>
    </row>
    <row r="29" spans="1:39" hidden="1" x14ac:dyDescent="0.25">
      <c r="A29" s="274"/>
      <c r="B29" s="278"/>
      <c r="C29" s="274" t="s">
        <v>556</v>
      </c>
      <c r="D29" s="276">
        <v>5.3959000000000001</v>
      </c>
      <c r="E29" s="279">
        <f t="shared" si="0"/>
        <v>0.74603578705700568</v>
      </c>
      <c r="F29" s="276">
        <v>60</v>
      </c>
      <c r="G29" s="276">
        <f t="shared" si="11"/>
        <v>3.2375400000000001</v>
      </c>
      <c r="H29" s="276">
        <f t="shared" si="12"/>
        <v>22.662780000000001</v>
      </c>
      <c r="I29" s="276">
        <f t="shared" si="4"/>
        <v>4.2</v>
      </c>
      <c r="J29" s="276">
        <v>7</v>
      </c>
      <c r="K29" s="296"/>
      <c r="L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82"/>
      <c r="AL29" s="182"/>
      <c r="AM29" s="182"/>
    </row>
    <row r="30" spans="1:39" hidden="1" x14ac:dyDescent="0.25">
      <c r="A30" s="274"/>
      <c r="B30" s="278"/>
      <c r="C30" s="274" t="s">
        <v>554</v>
      </c>
      <c r="D30" s="276">
        <v>1.84</v>
      </c>
      <c r="E30" s="279">
        <f t="shared" si="0"/>
        <v>0.25439794069291322</v>
      </c>
      <c r="F30" s="276">
        <v>60</v>
      </c>
      <c r="G30" s="276">
        <f t="shared" si="11"/>
        <v>1.1040000000000001</v>
      </c>
      <c r="H30" s="276">
        <f t="shared" si="12"/>
        <v>7.7280000000000006</v>
      </c>
      <c r="I30" s="276">
        <f t="shared" si="4"/>
        <v>4.2</v>
      </c>
      <c r="J30" s="276">
        <v>7</v>
      </c>
      <c r="K30" s="296"/>
      <c r="L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82"/>
      <c r="AL30" s="182"/>
      <c r="AM30" s="182"/>
    </row>
    <row r="31" spans="1:39" hidden="1" x14ac:dyDescent="0.25">
      <c r="A31" s="274"/>
      <c r="B31" s="278"/>
      <c r="C31" s="274" t="s">
        <v>736</v>
      </c>
      <c r="D31" s="276">
        <v>2.13</v>
      </c>
      <c r="E31" s="279">
        <f t="shared" si="0"/>
        <v>0.2944932683021223</v>
      </c>
      <c r="F31" s="276">
        <v>60</v>
      </c>
      <c r="G31" s="276">
        <f t="shared" si="11"/>
        <v>1.278</v>
      </c>
      <c r="H31" s="276">
        <f t="shared" si="12"/>
        <v>8.9459999999999997</v>
      </c>
      <c r="I31" s="276">
        <f t="shared" si="4"/>
        <v>4.2</v>
      </c>
      <c r="J31" s="276">
        <v>7</v>
      </c>
      <c r="K31" s="296"/>
      <c r="L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82"/>
      <c r="AL31" s="182"/>
      <c r="AM31" s="182"/>
    </row>
    <row r="32" spans="1:39" hidden="1" x14ac:dyDescent="0.25">
      <c r="A32" s="274"/>
      <c r="B32" s="278"/>
      <c r="C32" s="274" t="s">
        <v>737</v>
      </c>
      <c r="D32" s="276">
        <v>0.4</v>
      </c>
      <c r="E32" s="279">
        <f t="shared" si="0"/>
        <v>5.5303900150633307E-2</v>
      </c>
      <c r="F32" s="276">
        <v>60</v>
      </c>
      <c r="G32" s="276">
        <f t="shared" si="11"/>
        <v>0.24</v>
      </c>
      <c r="H32" s="276">
        <f t="shared" si="12"/>
        <v>1.68</v>
      </c>
      <c r="I32" s="276">
        <f t="shared" si="4"/>
        <v>4.1999999999999993</v>
      </c>
      <c r="J32" s="276">
        <v>7</v>
      </c>
      <c r="K32" s="296"/>
      <c r="L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82"/>
      <c r="AL32" s="182"/>
      <c r="AM32" s="182"/>
    </row>
    <row r="33" spans="1:39" hidden="1" x14ac:dyDescent="0.25">
      <c r="A33" s="274"/>
      <c r="B33" s="278"/>
      <c r="C33" s="274" t="s">
        <v>738</v>
      </c>
      <c r="D33" s="276">
        <v>0.05</v>
      </c>
      <c r="E33" s="279">
        <f t="shared" ref="E33:E34" si="13">+D33/$D$3*100</f>
        <v>6.9129875188291634E-3</v>
      </c>
      <c r="F33" s="276">
        <v>60</v>
      </c>
      <c r="G33" s="276">
        <f t="shared" ref="G33:G34" si="14">+D33*F33/100</f>
        <v>0.03</v>
      </c>
      <c r="H33" s="276">
        <f t="shared" ref="H33:H34" si="15">+G33*J33</f>
        <v>0.21</v>
      </c>
      <c r="I33" s="276">
        <f t="shared" si="4"/>
        <v>4.1999999999999993</v>
      </c>
      <c r="J33" s="276">
        <v>7</v>
      </c>
      <c r="K33" s="296"/>
      <c r="L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82"/>
      <c r="AL33" s="182"/>
      <c r="AM33" s="182"/>
    </row>
    <row r="34" spans="1:39" hidden="1" x14ac:dyDescent="0.25">
      <c r="A34" s="274"/>
      <c r="B34" s="278"/>
      <c r="C34" s="274" t="s">
        <v>739</v>
      </c>
      <c r="D34" s="276">
        <v>0.08</v>
      </c>
      <c r="E34" s="279">
        <f t="shared" si="13"/>
        <v>1.1060780030126661E-2</v>
      </c>
      <c r="F34" s="276">
        <v>60</v>
      </c>
      <c r="G34" s="276">
        <f t="shared" si="14"/>
        <v>4.8000000000000001E-2</v>
      </c>
      <c r="H34" s="276">
        <f t="shared" si="15"/>
        <v>0.33600000000000002</v>
      </c>
      <c r="I34" s="276">
        <f t="shared" si="4"/>
        <v>4.2</v>
      </c>
      <c r="J34" s="276">
        <v>7</v>
      </c>
      <c r="K34" s="296"/>
      <c r="L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82"/>
      <c r="AL34" s="182"/>
      <c r="AM34" s="182"/>
    </row>
    <row r="35" spans="1:39" s="54" customFormat="1" x14ac:dyDescent="0.25">
      <c r="A35" s="269">
        <v>1.3</v>
      </c>
      <c r="B35" s="270" t="s">
        <v>119</v>
      </c>
      <c r="C35" s="269" t="s">
        <v>332</v>
      </c>
      <c r="D35" s="271">
        <v>0.2883</v>
      </c>
      <c r="E35" s="292">
        <f t="shared" si="0"/>
        <v>3.9860286033568955E-2</v>
      </c>
      <c r="F35" s="271">
        <v>5</v>
      </c>
      <c r="G35" s="271">
        <f t="shared" si="11"/>
        <v>1.4415000000000001E-2</v>
      </c>
      <c r="H35" s="271">
        <f t="shared" ref="H35" si="16">+G35*J35</f>
        <v>1.4415000000000001E-2</v>
      </c>
      <c r="I35" s="271">
        <f t="shared" si="4"/>
        <v>0.05</v>
      </c>
      <c r="J35" s="271">
        <v>1</v>
      </c>
      <c r="K35" s="293"/>
      <c r="L35" s="180"/>
      <c r="M35" s="180"/>
      <c r="N35" s="178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0"/>
      <c r="AI35" s="180"/>
      <c r="AJ35" s="180"/>
      <c r="AK35" s="181"/>
      <c r="AL35" s="181"/>
      <c r="AM35" s="181"/>
    </row>
    <row r="36" spans="1:39" s="54" customFormat="1" x14ac:dyDescent="0.25">
      <c r="A36" s="269">
        <v>1.4</v>
      </c>
      <c r="B36" s="270" t="s">
        <v>118</v>
      </c>
      <c r="C36" s="269"/>
      <c r="D36" s="271">
        <f>+D37</f>
        <v>0.56999999999999995</v>
      </c>
      <c r="E36" s="292">
        <f t="shared" si="0"/>
        <v>7.8808057714652449E-2</v>
      </c>
      <c r="F36" s="271">
        <v>40</v>
      </c>
      <c r="G36" s="271">
        <f>+D36*F36/100</f>
        <v>0.22799999999999998</v>
      </c>
      <c r="H36" s="271">
        <f>+G36*J36</f>
        <v>0.68399999999999994</v>
      </c>
      <c r="I36" s="271">
        <f t="shared" si="4"/>
        <v>1.2</v>
      </c>
      <c r="J36" s="271">
        <v>3</v>
      </c>
      <c r="K36" s="293"/>
      <c r="L36" s="180"/>
      <c r="M36" s="180"/>
      <c r="N36" s="178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0"/>
      <c r="AI36" s="180"/>
      <c r="AJ36" s="180"/>
      <c r="AK36" s="181"/>
      <c r="AL36" s="181"/>
      <c r="AM36" s="181"/>
    </row>
    <row r="37" spans="1:39" x14ac:dyDescent="0.25">
      <c r="A37" s="274"/>
      <c r="B37" s="278" t="s">
        <v>93</v>
      </c>
      <c r="C37" s="274" t="s">
        <v>372</v>
      </c>
      <c r="D37" s="276">
        <v>0.56999999999999995</v>
      </c>
      <c r="E37" s="279">
        <f t="shared" si="0"/>
        <v>7.8808057714652449E-2</v>
      </c>
      <c r="F37" s="276">
        <v>40</v>
      </c>
      <c r="G37" s="276">
        <f>+D37*F37/100</f>
        <v>0.22799999999999998</v>
      </c>
      <c r="H37" s="276">
        <f>+G37*J37</f>
        <v>0.68399999999999994</v>
      </c>
      <c r="I37" s="276">
        <f t="shared" si="4"/>
        <v>1.2</v>
      </c>
      <c r="J37" s="276">
        <v>3</v>
      </c>
      <c r="K37" s="296"/>
      <c r="L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82"/>
      <c r="AL37" s="182"/>
      <c r="AM37" s="182"/>
    </row>
    <row r="38" spans="1:39" s="54" customFormat="1" x14ac:dyDescent="0.25">
      <c r="A38" s="269">
        <v>1.5</v>
      </c>
      <c r="B38" s="270" t="s">
        <v>661</v>
      </c>
      <c r="C38" s="269"/>
      <c r="D38" s="271">
        <f>+D39+D40</f>
        <v>0.35</v>
      </c>
      <c r="E38" s="292">
        <f t="shared" si="0"/>
        <v>4.8390912631804138E-2</v>
      </c>
      <c r="F38" s="271">
        <v>40</v>
      </c>
      <c r="G38" s="271">
        <f>+D38*F38/100</f>
        <v>0.14000000000000001</v>
      </c>
      <c r="H38" s="271">
        <f>+G38*J38</f>
        <v>0.42000000000000004</v>
      </c>
      <c r="I38" s="271">
        <f t="shared" si="4"/>
        <v>1.2000000000000002</v>
      </c>
      <c r="J38" s="271">
        <v>3</v>
      </c>
      <c r="K38" s="293"/>
      <c r="L38" s="180"/>
      <c r="M38" s="180"/>
      <c r="N38" s="178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1"/>
      <c r="AL38" s="181"/>
      <c r="AM38" s="181"/>
    </row>
    <row r="39" spans="1:39" hidden="1" x14ac:dyDescent="0.25">
      <c r="A39" s="274"/>
      <c r="B39" s="278"/>
      <c r="C39" s="274" t="s">
        <v>662</v>
      </c>
      <c r="D39" s="276">
        <v>0.32</v>
      </c>
      <c r="E39" s="279">
        <f t="shared" ref="E39" si="17">+D39/$D$3*100</f>
        <v>4.4243120120506643E-2</v>
      </c>
      <c r="F39" s="276">
        <v>40</v>
      </c>
      <c r="G39" s="276">
        <f>+D39*F39/100</f>
        <v>0.128</v>
      </c>
      <c r="H39" s="276">
        <f>+G39*J39</f>
        <v>0.38400000000000001</v>
      </c>
      <c r="I39" s="276">
        <f t="shared" si="4"/>
        <v>1.2</v>
      </c>
      <c r="J39" s="276">
        <v>3</v>
      </c>
      <c r="K39" s="296"/>
      <c r="L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82"/>
      <c r="AL39" s="182"/>
      <c r="AM39" s="182"/>
    </row>
    <row r="40" spans="1:39" hidden="1" x14ac:dyDescent="0.25">
      <c r="A40" s="274"/>
      <c r="B40" s="278"/>
      <c r="C40" s="274" t="s">
        <v>741</v>
      </c>
      <c r="D40" s="276">
        <v>0.03</v>
      </c>
      <c r="E40" s="279">
        <f t="shared" ref="E40" si="18">+D40/$D$3*100</f>
        <v>4.1477925112974974E-3</v>
      </c>
      <c r="F40" s="276">
        <v>40</v>
      </c>
      <c r="G40" s="276">
        <f>+D40*F40/100</f>
        <v>1.2E-2</v>
      </c>
      <c r="H40" s="276">
        <f>+G40*J40</f>
        <v>3.6000000000000004E-2</v>
      </c>
      <c r="I40" s="276">
        <f t="shared" si="4"/>
        <v>1.2000000000000002</v>
      </c>
      <c r="J40" s="276">
        <v>3</v>
      </c>
      <c r="K40" s="296"/>
      <c r="L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82"/>
      <c r="AL40" s="182"/>
      <c r="AM40" s="182"/>
    </row>
    <row r="41" spans="1:39" s="56" customFormat="1" x14ac:dyDescent="0.2">
      <c r="A41" s="261">
        <v>2</v>
      </c>
      <c r="B41" s="266" t="s">
        <v>596</v>
      </c>
      <c r="C41" s="261"/>
      <c r="D41" s="267">
        <f>+SUM(D42:D47)</f>
        <v>14.2338</v>
      </c>
      <c r="E41" s="265">
        <f t="shared" si="0"/>
        <v>1.9679616349102109</v>
      </c>
      <c r="F41" s="267">
        <v>5</v>
      </c>
      <c r="G41" s="267">
        <f t="shared" ref="G41" si="19">+D41*F41/100</f>
        <v>0.71168999999999993</v>
      </c>
      <c r="H41" s="267">
        <f t="shared" ref="H41" si="20">+G41*J41</f>
        <v>0.71168999999999993</v>
      </c>
      <c r="I41" s="267">
        <f t="shared" si="4"/>
        <v>4.9999999999999996E-2</v>
      </c>
      <c r="J41" s="267">
        <v>1</v>
      </c>
      <c r="K41" s="291"/>
      <c r="L41" s="176"/>
      <c r="M41" s="176"/>
      <c r="N41" s="174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7"/>
      <c r="AL41" s="177"/>
      <c r="AM41" s="177"/>
    </row>
    <row r="42" spans="1:39" hidden="1" x14ac:dyDescent="0.25">
      <c r="A42" s="274"/>
      <c r="B42" s="278"/>
      <c r="C42" s="274" t="s">
        <v>599</v>
      </c>
      <c r="D42" s="276">
        <v>6.2123999999999997</v>
      </c>
      <c r="E42" s="279">
        <f t="shared" si="0"/>
        <v>0.85892487323948585</v>
      </c>
      <c r="F42" s="276">
        <v>5</v>
      </c>
      <c r="G42" s="276">
        <f t="shared" ref="G42" si="21">+D42*F42/100</f>
        <v>0.31061999999999995</v>
      </c>
      <c r="H42" s="276">
        <f t="shared" ref="H42" si="22">+G42*J42</f>
        <v>0.31061999999999995</v>
      </c>
      <c r="I42" s="276">
        <f t="shared" si="4"/>
        <v>4.9999999999999996E-2</v>
      </c>
      <c r="J42" s="276">
        <v>1</v>
      </c>
      <c r="K42" s="296"/>
      <c r="L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82"/>
      <c r="AL42" s="182"/>
      <c r="AM42" s="182"/>
    </row>
    <row r="43" spans="1:39" hidden="1" x14ac:dyDescent="0.25">
      <c r="A43" s="274"/>
      <c r="B43" s="278"/>
      <c r="C43" s="274" t="s">
        <v>600</v>
      </c>
      <c r="D43" s="276">
        <v>0.89970000000000006</v>
      </c>
      <c r="E43" s="279">
        <f t="shared" si="0"/>
        <v>0.12439229741381197</v>
      </c>
      <c r="F43" s="276">
        <v>5</v>
      </c>
      <c r="G43" s="276">
        <f t="shared" ref="G43:G45" si="23">+D43*F43/100</f>
        <v>4.4984999999999997E-2</v>
      </c>
      <c r="H43" s="276">
        <f t="shared" ref="H43:H45" si="24">+G43*J43</f>
        <v>4.4984999999999997E-2</v>
      </c>
      <c r="I43" s="276">
        <f t="shared" si="4"/>
        <v>4.9999999999999996E-2</v>
      </c>
      <c r="J43" s="276">
        <v>1</v>
      </c>
      <c r="K43" s="296"/>
      <c r="L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82"/>
      <c r="AL43" s="182"/>
      <c r="AM43" s="182"/>
    </row>
    <row r="44" spans="1:39" hidden="1" x14ac:dyDescent="0.25">
      <c r="A44" s="274"/>
      <c r="B44" s="278"/>
      <c r="C44" s="274" t="s">
        <v>601</v>
      </c>
      <c r="D44" s="276">
        <v>3.4527000000000001</v>
      </c>
      <c r="E44" s="279">
        <f t="shared" si="0"/>
        <v>0.47736944012522903</v>
      </c>
      <c r="F44" s="276">
        <v>5</v>
      </c>
      <c r="G44" s="276">
        <f t="shared" si="23"/>
        <v>0.17263500000000001</v>
      </c>
      <c r="H44" s="276">
        <f t="shared" si="24"/>
        <v>0.17263500000000001</v>
      </c>
      <c r="I44" s="276">
        <f t="shared" si="4"/>
        <v>0.05</v>
      </c>
      <c r="J44" s="276">
        <v>1</v>
      </c>
      <c r="K44" s="296"/>
      <c r="L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82"/>
      <c r="AL44" s="182"/>
      <c r="AM44" s="182"/>
    </row>
    <row r="45" spans="1:39" hidden="1" x14ac:dyDescent="0.25">
      <c r="A45" s="274"/>
      <c r="B45" s="278"/>
      <c r="C45" s="274" t="s">
        <v>602</v>
      </c>
      <c r="D45" s="276">
        <v>1.7297</v>
      </c>
      <c r="E45" s="279">
        <f t="shared" si="0"/>
        <v>0.23914789022637609</v>
      </c>
      <c r="F45" s="276">
        <v>5</v>
      </c>
      <c r="G45" s="276">
        <f t="shared" si="23"/>
        <v>8.6485000000000006E-2</v>
      </c>
      <c r="H45" s="276">
        <f t="shared" si="24"/>
        <v>8.6485000000000006E-2</v>
      </c>
      <c r="I45" s="276">
        <f t="shared" si="4"/>
        <v>0.05</v>
      </c>
      <c r="J45" s="276">
        <v>1</v>
      </c>
      <c r="K45" s="296"/>
      <c r="L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82"/>
      <c r="AL45" s="182"/>
      <c r="AM45" s="182"/>
    </row>
    <row r="46" spans="1:39" hidden="1" x14ac:dyDescent="0.25">
      <c r="A46" s="274"/>
      <c r="B46" s="278"/>
      <c r="C46" s="274" t="s">
        <v>603</v>
      </c>
      <c r="D46" s="276">
        <v>1.0904</v>
      </c>
      <c r="E46" s="279">
        <f t="shared" ref="E46:E47" si="25">+D46/$D$3*100</f>
        <v>0.1507584318106264</v>
      </c>
      <c r="F46" s="276">
        <v>5</v>
      </c>
      <c r="G46" s="276">
        <f t="shared" ref="G46" si="26">+D46*F46/100</f>
        <v>5.4519999999999999E-2</v>
      </c>
      <c r="H46" s="276">
        <f t="shared" ref="H46" si="27">+G46*J46</f>
        <v>5.4519999999999999E-2</v>
      </c>
      <c r="I46" s="276">
        <f t="shared" ref="I46" si="28">+H46/D46</f>
        <v>4.9999999999999996E-2</v>
      </c>
      <c r="J46" s="276">
        <v>1</v>
      </c>
      <c r="K46" s="296"/>
      <c r="L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82"/>
      <c r="AL46" s="182"/>
      <c r="AM46" s="182"/>
    </row>
    <row r="47" spans="1:39" hidden="1" x14ac:dyDescent="0.25">
      <c r="A47" s="274"/>
      <c r="B47" s="278"/>
      <c r="C47" s="274" t="s">
        <v>1208</v>
      </c>
      <c r="D47" s="276">
        <v>0.84889999999999999</v>
      </c>
      <c r="E47" s="279">
        <f t="shared" si="25"/>
        <v>0.11736870209468153</v>
      </c>
      <c r="F47" s="276">
        <v>5</v>
      </c>
      <c r="G47" s="276">
        <f t="shared" ref="G47" si="29">+D47*F47/100</f>
        <v>4.2445000000000004E-2</v>
      </c>
      <c r="H47" s="276">
        <f t="shared" ref="H47" si="30">+G47*J47</f>
        <v>4.2445000000000004E-2</v>
      </c>
      <c r="I47" s="276">
        <f t="shared" ref="I47" si="31">+H47/D47</f>
        <v>0.05</v>
      </c>
      <c r="J47" s="276">
        <v>1</v>
      </c>
      <c r="K47" s="296"/>
      <c r="L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82"/>
      <c r="AL47" s="182"/>
      <c r="AM47" s="182"/>
    </row>
    <row r="48" spans="1:39" s="91" customFormat="1" ht="20.25" customHeight="1" x14ac:dyDescent="0.2">
      <c r="A48" s="263" t="s">
        <v>607</v>
      </c>
      <c r="B48" s="264" t="s">
        <v>595</v>
      </c>
      <c r="C48" s="263"/>
      <c r="D48" s="265">
        <f>+D49+D54+D57+D62+D63+D67+D68+D72</f>
        <v>84.941000000000003</v>
      </c>
      <c r="E48" s="265">
        <f t="shared" si="0"/>
        <v>11.743921456737359</v>
      </c>
      <c r="F48" s="265">
        <f>+G48*100/D48</f>
        <v>33.440953132174101</v>
      </c>
      <c r="G48" s="265">
        <f>+G49+G54+G57+G62+G63+G67+G68</f>
        <v>28.405080000000002</v>
      </c>
      <c r="H48" s="265"/>
      <c r="I48" s="267"/>
      <c r="J48" s="265"/>
      <c r="K48" s="290"/>
      <c r="L48" s="170"/>
      <c r="M48" s="170"/>
      <c r="N48" s="171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2"/>
      <c r="AL48" s="173"/>
      <c r="AM48" s="173"/>
    </row>
    <row r="49" spans="1:39" s="56" customFormat="1" x14ac:dyDescent="0.2">
      <c r="A49" s="261">
        <v>1</v>
      </c>
      <c r="B49" s="266" t="s">
        <v>47</v>
      </c>
      <c r="C49" s="261"/>
      <c r="D49" s="267">
        <f>+SUM(D50:D53)</f>
        <v>36.456400000000002</v>
      </c>
      <c r="E49" s="265">
        <f t="shared" si="0"/>
        <v>5.0404527636288705</v>
      </c>
      <c r="F49" s="267">
        <v>40</v>
      </c>
      <c r="G49" s="267">
        <f>+D49*F49/100</f>
        <v>14.582560000000001</v>
      </c>
      <c r="H49" s="267">
        <f t="shared" ref="H49:H56" si="32">+G49*J49</f>
        <v>218.73840000000001</v>
      </c>
      <c r="I49" s="267">
        <f t="shared" si="4"/>
        <v>6</v>
      </c>
      <c r="J49" s="267">
        <v>15</v>
      </c>
      <c r="K49" s="291"/>
      <c r="L49" s="176"/>
      <c r="M49" s="176"/>
      <c r="N49" s="174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7"/>
      <c r="AL49" s="177"/>
      <c r="AM49" s="177"/>
    </row>
    <row r="50" spans="1:39" hidden="1" x14ac:dyDescent="0.25">
      <c r="A50" s="274"/>
      <c r="B50" s="278"/>
      <c r="C50" s="274" t="s">
        <v>380</v>
      </c>
      <c r="D50" s="276">
        <v>13.1225</v>
      </c>
      <c r="E50" s="279">
        <f t="shared" si="0"/>
        <v>1.814313574316714</v>
      </c>
      <c r="F50" s="276">
        <v>40</v>
      </c>
      <c r="G50" s="276">
        <f t="shared" ref="G50:G56" si="33">+D50*F50/100</f>
        <v>5.2489999999999997</v>
      </c>
      <c r="H50" s="276">
        <f t="shared" si="32"/>
        <v>78.734999999999999</v>
      </c>
      <c r="I50" s="276">
        <f t="shared" si="4"/>
        <v>6</v>
      </c>
      <c r="J50" s="276">
        <v>15</v>
      </c>
      <c r="K50" s="296"/>
      <c r="L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82"/>
      <c r="AL50" s="182"/>
      <c r="AM50" s="182"/>
    </row>
    <row r="51" spans="1:39" hidden="1" x14ac:dyDescent="0.25">
      <c r="A51" s="274"/>
      <c r="B51" s="278"/>
      <c r="C51" s="274" t="s">
        <v>378</v>
      </c>
      <c r="D51" s="276">
        <v>2.2646999999999999</v>
      </c>
      <c r="E51" s="279">
        <f t="shared" ref="E51:E52" si="34">+D51/$D$3*100</f>
        <v>0.31311685667784811</v>
      </c>
      <c r="F51" s="276">
        <v>40</v>
      </c>
      <c r="G51" s="276">
        <f t="shared" ref="G51:G52" si="35">+D51*F51/100</f>
        <v>0.90587999999999991</v>
      </c>
      <c r="H51" s="276">
        <f t="shared" ref="H51:H52" si="36">+G51*J51</f>
        <v>13.588199999999999</v>
      </c>
      <c r="I51" s="276">
        <f t="shared" ref="I51:I52" si="37">+H51/D51</f>
        <v>6</v>
      </c>
      <c r="J51" s="276">
        <v>15</v>
      </c>
      <c r="K51" s="296"/>
      <c r="L51" s="158"/>
      <c r="S51" s="158"/>
      <c r="T51" s="158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82"/>
      <c r="AL51" s="182"/>
      <c r="AM51" s="182"/>
    </row>
    <row r="52" spans="1:39" hidden="1" x14ac:dyDescent="0.25">
      <c r="A52" s="274"/>
      <c r="B52" s="278"/>
      <c r="C52" s="274" t="s">
        <v>1209</v>
      </c>
      <c r="D52" s="276">
        <v>7.2961999999999998</v>
      </c>
      <c r="E52" s="279">
        <f t="shared" si="34"/>
        <v>1.0087707906976269</v>
      </c>
      <c r="F52" s="276">
        <v>40</v>
      </c>
      <c r="G52" s="276">
        <f t="shared" si="35"/>
        <v>2.9184800000000002</v>
      </c>
      <c r="H52" s="276">
        <f t="shared" si="36"/>
        <v>43.777200000000001</v>
      </c>
      <c r="I52" s="276">
        <f t="shared" si="37"/>
        <v>6</v>
      </c>
      <c r="J52" s="276">
        <v>15</v>
      </c>
      <c r="K52" s="296"/>
      <c r="L52" s="158"/>
      <c r="S52" s="158"/>
      <c r="T52" s="158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158"/>
      <c r="AH52" s="158"/>
      <c r="AI52" s="158"/>
      <c r="AJ52" s="158"/>
      <c r="AK52" s="182"/>
      <c r="AL52" s="182"/>
      <c r="AM52" s="182"/>
    </row>
    <row r="53" spans="1:39" hidden="1" x14ac:dyDescent="0.25">
      <c r="A53" s="274"/>
      <c r="B53" s="278"/>
      <c r="C53" s="274" t="s">
        <v>378</v>
      </c>
      <c r="D53" s="276">
        <v>13.773</v>
      </c>
      <c r="E53" s="279">
        <f t="shared" si="0"/>
        <v>1.9042515419366812</v>
      </c>
      <c r="F53" s="276">
        <v>40</v>
      </c>
      <c r="G53" s="276">
        <f t="shared" si="33"/>
        <v>5.5091999999999999</v>
      </c>
      <c r="H53" s="276">
        <f t="shared" si="32"/>
        <v>82.638000000000005</v>
      </c>
      <c r="I53" s="276">
        <f t="shared" si="4"/>
        <v>6.0000000000000009</v>
      </c>
      <c r="J53" s="276">
        <v>15</v>
      </c>
      <c r="K53" s="296"/>
      <c r="L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82"/>
      <c r="AL53" s="182"/>
      <c r="AM53" s="182"/>
    </row>
    <row r="54" spans="1:39" s="56" customFormat="1" x14ac:dyDescent="0.2">
      <c r="A54" s="261">
        <v>2</v>
      </c>
      <c r="B54" s="266" t="s">
        <v>92</v>
      </c>
      <c r="C54" s="261"/>
      <c r="D54" s="267">
        <f>+SUM(D55:D56)</f>
        <v>2.4971000000000001</v>
      </c>
      <c r="E54" s="265">
        <f t="shared" si="0"/>
        <v>0.34524842266536609</v>
      </c>
      <c r="F54" s="267">
        <v>5</v>
      </c>
      <c r="G54" s="267">
        <f t="shared" si="33"/>
        <v>0.12485499999999999</v>
      </c>
      <c r="H54" s="267">
        <f t="shared" si="32"/>
        <v>0.12485499999999999</v>
      </c>
      <c r="I54" s="267">
        <f t="shared" si="4"/>
        <v>4.9999999999999996E-2</v>
      </c>
      <c r="J54" s="267">
        <v>1</v>
      </c>
      <c r="K54" s="291"/>
      <c r="L54" s="176"/>
      <c r="M54" s="176"/>
      <c r="N54" s="174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7"/>
      <c r="AL54" s="177"/>
      <c r="AM54" s="177"/>
    </row>
    <row r="55" spans="1:39" hidden="1" x14ac:dyDescent="0.25">
      <c r="A55" s="274"/>
      <c r="B55" s="278"/>
      <c r="C55" s="274" t="s">
        <v>659</v>
      </c>
      <c r="D55" s="276">
        <v>0.46610000000000001</v>
      </c>
      <c r="E55" s="279">
        <f t="shared" si="0"/>
        <v>6.4442869650525453E-2</v>
      </c>
      <c r="F55" s="276">
        <v>5</v>
      </c>
      <c r="G55" s="276">
        <f t="shared" si="33"/>
        <v>2.3305000000000003E-2</v>
      </c>
      <c r="H55" s="276">
        <f t="shared" si="32"/>
        <v>2.3305000000000003E-2</v>
      </c>
      <c r="I55" s="276">
        <f t="shared" si="4"/>
        <v>0.05</v>
      </c>
      <c r="J55" s="276">
        <v>1</v>
      </c>
      <c r="K55" s="296"/>
      <c r="L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82"/>
      <c r="AL55" s="182"/>
      <c r="AM55" s="182"/>
    </row>
    <row r="56" spans="1:39" hidden="1" x14ac:dyDescent="0.25">
      <c r="A56" s="274"/>
      <c r="B56" s="278"/>
      <c r="C56" s="274" t="s">
        <v>660</v>
      </c>
      <c r="D56" s="276">
        <v>2.0310000000000001</v>
      </c>
      <c r="E56" s="279">
        <f t="shared" si="0"/>
        <v>0.28080555301484061</v>
      </c>
      <c r="F56" s="276">
        <v>5</v>
      </c>
      <c r="G56" s="276">
        <f t="shared" si="33"/>
        <v>0.10155000000000002</v>
      </c>
      <c r="H56" s="276">
        <f t="shared" si="32"/>
        <v>0.10155000000000002</v>
      </c>
      <c r="I56" s="276">
        <f t="shared" si="4"/>
        <v>0.05</v>
      </c>
      <c r="J56" s="276">
        <v>1</v>
      </c>
      <c r="K56" s="296"/>
      <c r="L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82"/>
      <c r="AL56" s="182"/>
      <c r="AM56" s="182"/>
    </row>
    <row r="57" spans="1:39" s="56" customFormat="1" x14ac:dyDescent="0.2">
      <c r="A57" s="261">
        <v>3</v>
      </c>
      <c r="B57" s="266" t="s">
        <v>96</v>
      </c>
      <c r="C57" s="261"/>
      <c r="D57" s="267">
        <f>+SUM(D58:D61)</f>
        <v>9.4390999999999998</v>
      </c>
      <c r="E57" s="265">
        <f t="shared" si="0"/>
        <v>1.3050476097796071</v>
      </c>
      <c r="F57" s="267">
        <f>+F58</f>
        <v>60</v>
      </c>
      <c r="G57" s="267">
        <f>+SUM(G58:G61)</f>
        <v>5.6634600000000006</v>
      </c>
      <c r="H57" s="267">
        <f>+SUM(H58:H61)</f>
        <v>16.990380000000002</v>
      </c>
      <c r="I57" s="267">
        <f t="shared" si="4"/>
        <v>1.8000000000000003</v>
      </c>
      <c r="J57" s="267">
        <v>3</v>
      </c>
      <c r="K57" s="291"/>
      <c r="L57" s="176"/>
      <c r="M57" s="176"/>
      <c r="N57" s="174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7"/>
      <c r="AL57" s="177"/>
      <c r="AM57" s="177"/>
    </row>
    <row r="58" spans="1:39" hidden="1" x14ac:dyDescent="0.25">
      <c r="A58" s="274"/>
      <c r="B58" s="278"/>
      <c r="C58" s="274" t="s">
        <v>370</v>
      </c>
      <c r="D58" s="276">
        <v>0.39460000000000001</v>
      </c>
      <c r="E58" s="279">
        <f t="shared" si="0"/>
        <v>5.4557297498599756E-2</v>
      </c>
      <c r="F58" s="276">
        <v>60</v>
      </c>
      <c r="G58" s="276">
        <f>+D58*F58/100</f>
        <v>0.23676000000000003</v>
      </c>
      <c r="H58" s="276">
        <f>+G58*J58</f>
        <v>0.71028000000000002</v>
      </c>
      <c r="I58" s="276">
        <f t="shared" si="4"/>
        <v>1.8</v>
      </c>
      <c r="J58" s="276">
        <v>3</v>
      </c>
      <c r="K58" s="296"/>
      <c r="L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82"/>
      <c r="AL58" s="182"/>
      <c r="AM58" s="182"/>
    </row>
    <row r="59" spans="1:39" hidden="1" x14ac:dyDescent="0.25">
      <c r="A59" s="274"/>
      <c r="B59" s="278"/>
      <c r="C59" s="274" t="s">
        <v>368</v>
      </c>
      <c r="D59" s="276">
        <v>1.0246999999999999</v>
      </c>
      <c r="E59" s="279">
        <f t="shared" si="0"/>
        <v>0.14167476621088487</v>
      </c>
      <c r="F59" s="276">
        <v>60</v>
      </c>
      <c r="G59" s="276">
        <f t="shared" ref="G59:G61" si="38">+D59*F59/100</f>
        <v>0.61482000000000003</v>
      </c>
      <c r="H59" s="276">
        <f t="shared" ref="H59:H62" si="39">+G59*J59</f>
        <v>1.8444600000000002</v>
      </c>
      <c r="I59" s="276">
        <f t="shared" si="4"/>
        <v>1.8000000000000003</v>
      </c>
      <c r="J59" s="276">
        <v>3</v>
      </c>
      <c r="K59" s="296"/>
      <c r="L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82"/>
      <c r="AL59" s="182"/>
      <c r="AM59" s="182"/>
    </row>
    <row r="60" spans="1:39" hidden="1" x14ac:dyDescent="0.25">
      <c r="A60" s="274"/>
      <c r="B60" s="278"/>
      <c r="C60" s="274" t="s">
        <v>366</v>
      </c>
      <c r="D60" s="276">
        <v>3.6457000000000002</v>
      </c>
      <c r="E60" s="279">
        <f t="shared" si="0"/>
        <v>0.50405357194790967</v>
      </c>
      <c r="F60" s="276">
        <v>60</v>
      </c>
      <c r="G60" s="276">
        <f t="shared" si="38"/>
        <v>2.1874200000000004</v>
      </c>
      <c r="H60" s="276">
        <f t="shared" si="39"/>
        <v>6.5622600000000011</v>
      </c>
      <c r="I60" s="276">
        <f t="shared" si="4"/>
        <v>1.8000000000000003</v>
      </c>
      <c r="J60" s="276">
        <v>3</v>
      </c>
      <c r="K60" s="296"/>
      <c r="L60" s="158"/>
      <c r="S60" s="158"/>
      <c r="T60" s="158"/>
      <c r="U60" s="158"/>
      <c r="V60" s="158"/>
      <c r="W60" s="158"/>
      <c r="X60" s="158"/>
      <c r="Y60" s="158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82"/>
      <c r="AL60" s="182"/>
      <c r="AM60" s="182"/>
    </row>
    <row r="61" spans="1:39" hidden="1" x14ac:dyDescent="0.25">
      <c r="A61" s="274"/>
      <c r="B61" s="278"/>
      <c r="C61" s="274" t="s">
        <v>364</v>
      </c>
      <c r="D61" s="276">
        <v>4.3741000000000003</v>
      </c>
      <c r="E61" s="279">
        <f t="shared" si="0"/>
        <v>0.604761974122213</v>
      </c>
      <c r="F61" s="276">
        <v>60</v>
      </c>
      <c r="G61" s="276">
        <f t="shared" si="38"/>
        <v>2.6244600000000005</v>
      </c>
      <c r="H61" s="276">
        <f t="shared" si="39"/>
        <v>7.8733800000000009</v>
      </c>
      <c r="I61" s="276">
        <f t="shared" si="4"/>
        <v>1.8</v>
      </c>
      <c r="J61" s="276">
        <v>3</v>
      </c>
      <c r="K61" s="296"/>
      <c r="L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82"/>
      <c r="AL61" s="182"/>
      <c r="AM61" s="182"/>
    </row>
    <row r="62" spans="1:39" s="56" customFormat="1" x14ac:dyDescent="0.2">
      <c r="A62" s="261">
        <v>4</v>
      </c>
      <c r="B62" s="266" t="s">
        <v>98</v>
      </c>
      <c r="C62" s="261" t="s">
        <v>394</v>
      </c>
      <c r="D62" s="267">
        <v>0.60940000000000005</v>
      </c>
      <c r="E62" s="265">
        <f t="shared" si="0"/>
        <v>8.4255491879489844E-2</v>
      </c>
      <c r="F62" s="267">
        <v>40</v>
      </c>
      <c r="G62" s="267">
        <f>+D62*F62/100</f>
        <v>0.24376</v>
      </c>
      <c r="H62" s="267">
        <f t="shared" si="39"/>
        <v>1.2188000000000001</v>
      </c>
      <c r="I62" s="267">
        <f t="shared" si="4"/>
        <v>2</v>
      </c>
      <c r="J62" s="267">
        <v>5</v>
      </c>
      <c r="K62" s="291"/>
      <c r="L62" s="176"/>
      <c r="M62" s="176"/>
      <c r="N62" s="174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7"/>
      <c r="AL62" s="177"/>
      <c r="AM62" s="177"/>
    </row>
    <row r="63" spans="1:39" s="56" customFormat="1" x14ac:dyDescent="0.2">
      <c r="A63" s="261">
        <v>5</v>
      </c>
      <c r="B63" s="266" t="s">
        <v>99</v>
      </c>
      <c r="C63" s="261"/>
      <c r="D63" s="267">
        <f>SUM(D64,D65,D66)</f>
        <v>4.9001999999999999</v>
      </c>
      <c r="E63" s="265">
        <f t="shared" si="0"/>
        <v>0.67750042879533334</v>
      </c>
      <c r="F63" s="267">
        <v>50</v>
      </c>
      <c r="G63" s="267">
        <f t="shared" ref="G63:G66" si="40">+D63*F63/100</f>
        <v>2.4500999999999999</v>
      </c>
      <c r="H63" s="267">
        <f t="shared" ref="H63:H66" si="41">+G63*J63</f>
        <v>24.500999999999998</v>
      </c>
      <c r="I63" s="267">
        <f t="shared" si="4"/>
        <v>5</v>
      </c>
      <c r="J63" s="267">
        <v>10</v>
      </c>
      <c r="K63" s="291"/>
      <c r="L63" s="176"/>
      <c r="M63" s="176"/>
      <c r="N63" s="174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7"/>
      <c r="AL63" s="177"/>
      <c r="AM63" s="177"/>
    </row>
    <row r="64" spans="1:39" hidden="1" x14ac:dyDescent="0.25">
      <c r="A64" s="274"/>
      <c r="B64" s="278"/>
      <c r="C64" s="274" t="s">
        <v>604</v>
      </c>
      <c r="D64" s="276">
        <v>0.42680000000000001</v>
      </c>
      <c r="E64" s="279">
        <f t="shared" ref="E64:E65" si="42">+D64/$D$3*100</f>
        <v>5.9009261460725743E-2</v>
      </c>
      <c r="F64" s="276">
        <v>50</v>
      </c>
      <c r="G64" s="276">
        <f t="shared" ref="G64:G65" si="43">+D64*F64/100</f>
        <v>0.21340000000000001</v>
      </c>
      <c r="H64" s="276">
        <f t="shared" ref="H64:H65" si="44">+G64*J64</f>
        <v>1.0669999999999999</v>
      </c>
      <c r="I64" s="276">
        <f t="shared" ref="I64:I65" si="45">+H64/D64</f>
        <v>2.5</v>
      </c>
      <c r="J64" s="276">
        <v>5</v>
      </c>
      <c r="K64" s="296"/>
      <c r="L64" s="158"/>
      <c r="S64" s="158"/>
      <c r="T64" s="158"/>
      <c r="U64" s="158"/>
      <c r="V64" s="158"/>
      <c r="W64" s="158"/>
      <c r="X64" s="158"/>
      <c r="Y64" s="158"/>
      <c r="Z64" s="158"/>
      <c r="AA64" s="158"/>
      <c r="AB64" s="158"/>
      <c r="AC64" s="158"/>
      <c r="AD64" s="158"/>
      <c r="AE64" s="158"/>
      <c r="AF64" s="158"/>
      <c r="AG64" s="158"/>
      <c r="AH64" s="158"/>
      <c r="AI64" s="158"/>
      <c r="AJ64" s="158"/>
      <c r="AK64" s="182"/>
      <c r="AL64" s="182"/>
      <c r="AM64" s="182"/>
    </row>
    <row r="65" spans="1:39" hidden="1" x14ac:dyDescent="0.25">
      <c r="A65" s="274"/>
      <c r="B65" s="278"/>
      <c r="C65" s="274" t="s">
        <v>1210</v>
      </c>
      <c r="D65" s="276">
        <v>1.2735000000000001</v>
      </c>
      <c r="E65" s="279">
        <f t="shared" si="42"/>
        <v>0.1760737921045788</v>
      </c>
      <c r="F65" s="276">
        <v>50</v>
      </c>
      <c r="G65" s="276">
        <f t="shared" si="43"/>
        <v>0.63675000000000004</v>
      </c>
      <c r="H65" s="276">
        <f t="shared" si="44"/>
        <v>3.1837500000000003</v>
      </c>
      <c r="I65" s="276">
        <f t="shared" si="45"/>
        <v>2.5</v>
      </c>
      <c r="J65" s="276">
        <v>5</v>
      </c>
      <c r="K65" s="296"/>
      <c r="L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82"/>
      <c r="AL65" s="182"/>
      <c r="AM65" s="182"/>
    </row>
    <row r="66" spans="1:39" hidden="1" x14ac:dyDescent="0.25">
      <c r="A66" s="274"/>
      <c r="B66" s="278"/>
      <c r="C66" s="274" t="s">
        <v>1211</v>
      </c>
      <c r="D66" s="276">
        <v>3.1999</v>
      </c>
      <c r="E66" s="279">
        <f t="shared" si="0"/>
        <v>0.44241737523002878</v>
      </c>
      <c r="F66" s="276">
        <v>50</v>
      </c>
      <c r="G66" s="276">
        <f t="shared" si="40"/>
        <v>1.59995</v>
      </c>
      <c r="H66" s="276">
        <f t="shared" si="41"/>
        <v>7.9997499999999997</v>
      </c>
      <c r="I66" s="276">
        <f t="shared" si="4"/>
        <v>2.5</v>
      </c>
      <c r="J66" s="276">
        <v>5</v>
      </c>
      <c r="K66" s="296"/>
      <c r="L66" s="158"/>
      <c r="S66" s="158"/>
      <c r="T66" s="158"/>
      <c r="U66" s="158"/>
      <c r="V66" s="158"/>
      <c r="W66" s="158"/>
      <c r="X66" s="158"/>
      <c r="Y66" s="158"/>
      <c r="Z66" s="158"/>
      <c r="AA66" s="158"/>
      <c r="AB66" s="158"/>
      <c r="AC66" s="158"/>
      <c r="AD66" s="158"/>
      <c r="AE66" s="158"/>
      <c r="AF66" s="158"/>
      <c r="AG66" s="158"/>
      <c r="AH66" s="158"/>
      <c r="AI66" s="158"/>
      <c r="AJ66" s="158"/>
      <c r="AK66" s="182"/>
      <c r="AL66" s="182"/>
      <c r="AM66" s="182"/>
    </row>
    <row r="67" spans="1:39" s="56" customFormat="1" x14ac:dyDescent="0.2">
      <c r="A67" s="261">
        <v>6</v>
      </c>
      <c r="B67" s="266" t="s">
        <v>100</v>
      </c>
      <c r="C67" s="261" t="s">
        <v>374</v>
      </c>
      <c r="D67" s="267">
        <v>14.472099999999999</v>
      </c>
      <c r="E67" s="265">
        <f t="shared" si="0"/>
        <v>2.0009089334249506</v>
      </c>
      <c r="F67" s="267">
        <v>25</v>
      </c>
      <c r="G67" s="267">
        <f>+D67*F67/100</f>
        <v>3.6180250000000003</v>
      </c>
      <c r="H67" s="267">
        <f>+G67*J67</f>
        <v>18.090125</v>
      </c>
      <c r="I67" s="267">
        <f t="shared" si="4"/>
        <v>1.25</v>
      </c>
      <c r="J67" s="267">
        <v>5</v>
      </c>
      <c r="K67" s="291"/>
      <c r="L67" s="176"/>
      <c r="M67" s="176"/>
      <c r="N67" s="174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7"/>
      <c r="AL67" s="177"/>
      <c r="AM67" s="177"/>
    </row>
    <row r="68" spans="1:39" s="56" customFormat="1" x14ac:dyDescent="0.2">
      <c r="A68" s="261">
        <v>7</v>
      </c>
      <c r="B68" s="266" t="s">
        <v>105</v>
      </c>
      <c r="C68" s="261"/>
      <c r="D68" s="267">
        <f>+SUM(D69:D71)</f>
        <v>4.3057999999999996</v>
      </c>
      <c r="E68" s="265">
        <f t="shared" si="0"/>
        <v>0.59531883317149215</v>
      </c>
      <c r="F68" s="267">
        <v>40</v>
      </c>
      <c r="G68" s="267">
        <f t="shared" ref="G68" si="46">+D68*F68/100</f>
        <v>1.7223199999999996</v>
      </c>
      <c r="H68" s="267">
        <f t="shared" ref="H68" si="47">+G68*J68</f>
        <v>1.7223199999999996</v>
      </c>
      <c r="I68" s="267">
        <f t="shared" si="4"/>
        <v>0.39999999999999997</v>
      </c>
      <c r="J68" s="267">
        <v>1</v>
      </c>
      <c r="K68" s="291"/>
      <c r="L68" s="176"/>
      <c r="M68" s="176"/>
      <c r="N68" s="174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7"/>
      <c r="AL68" s="177"/>
      <c r="AM68" s="177"/>
    </row>
    <row r="69" spans="1:39" hidden="1" x14ac:dyDescent="0.25">
      <c r="A69" s="274"/>
      <c r="B69" s="278"/>
      <c r="C69" s="274" t="s">
        <v>346</v>
      </c>
      <c r="D69" s="276">
        <v>1.0258</v>
      </c>
      <c r="E69" s="279">
        <f t="shared" ref="E69:E71" si="48">+D69/$D$3*100</f>
        <v>0.14182685193629913</v>
      </c>
      <c r="F69" s="276">
        <v>40</v>
      </c>
      <c r="G69" s="276">
        <f t="shared" ref="G69:G71" si="49">+D69*F69/100</f>
        <v>0.41032000000000002</v>
      </c>
      <c r="H69" s="276">
        <f t="shared" ref="H69:H71" si="50">+G69*J69</f>
        <v>0.41032000000000002</v>
      </c>
      <c r="I69" s="276">
        <f t="shared" si="4"/>
        <v>0.4</v>
      </c>
      <c r="J69" s="276">
        <v>1</v>
      </c>
      <c r="K69" s="296"/>
      <c r="L69" s="158"/>
      <c r="S69" s="158"/>
      <c r="T69" s="158"/>
      <c r="U69" s="158"/>
      <c r="V69" s="158"/>
      <c r="W69" s="158"/>
      <c r="X69" s="158"/>
      <c r="Y69" s="158"/>
      <c r="Z69" s="158"/>
      <c r="AA69" s="158"/>
      <c r="AB69" s="158"/>
      <c r="AC69" s="158"/>
      <c r="AD69" s="158"/>
      <c r="AE69" s="158"/>
      <c r="AF69" s="158"/>
      <c r="AG69" s="158"/>
      <c r="AH69" s="158"/>
      <c r="AI69" s="158"/>
      <c r="AJ69" s="158"/>
      <c r="AK69" s="182"/>
      <c r="AL69" s="182"/>
      <c r="AM69" s="182"/>
    </row>
    <row r="70" spans="1:39" hidden="1" x14ac:dyDescent="0.25">
      <c r="A70" s="274"/>
      <c r="B70" s="278"/>
      <c r="C70" s="274" t="s">
        <v>745</v>
      </c>
      <c r="D70" s="276">
        <v>0.43</v>
      </c>
      <c r="E70" s="279">
        <f t="shared" si="48"/>
        <v>5.9451692661930802E-2</v>
      </c>
      <c r="F70" s="276">
        <v>40</v>
      </c>
      <c r="G70" s="276">
        <f t="shared" si="49"/>
        <v>0.17199999999999999</v>
      </c>
      <c r="H70" s="276">
        <f t="shared" si="50"/>
        <v>0.17199999999999999</v>
      </c>
      <c r="I70" s="276">
        <f t="shared" si="4"/>
        <v>0.39999999999999997</v>
      </c>
      <c r="J70" s="276">
        <v>1</v>
      </c>
      <c r="K70" s="296"/>
      <c r="L70" s="158"/>
      <c r="S70" s="158"/>
      <c r="T70" s="158"/>
      <c r="U70" s="158"/>
      <c r="V70" s="158"/>
      <c r="W70" s="158"/>
      <c r="X70" s="158"/>
      <c r="Y70" s="158"/>
      <c r="Z70" s="158"/>
      <c r="AA70" s="158"/>
      <c r="AB70" s="158"/>
      <c r="AC70" s="158"/>
      <c r="AD70" s="158"/>
      <c r="AE70" s="158"/>
      <c r="AF70" s="158"/>
      <c r="AG70" s="158"/>
      <c r="AH70" s="158"/>
      <c r="AI70" s="158"/>
      <c r="AJ70" s="158"/>
      <c r="AK70" s="182"/>
      <c r="AL70" s="182"/>
      <c r="AM70" s="182"/>
    </row>
    <row r="71" spans="1:39" hidden="1" x14ac:dyDescent="0.25">
      <c r="A71" s="274"/>
      <c r="B71" s="278"/>
      <c r="C71" s="274" t="s">
        <v>746</v>
      </c>
      <c r="D71" s="276">
        <v>2.85</v>
      </c>
      <c r="E71" s="279">
        <f t="shared" si="48"/>
        <v>0.39404028857326234</v>
      </c>
      <c r="F71" s="276">
        <v>40</v>
      </c>
      <c r="G71" s="276">
        <f t="shared" si="49"/>
        <v>1.1399999999999999</v>
      </c>
      <c r="H71" s="276">
        <f t="shared" si="50"/>
        <v>3.42</v>
      </c>
      <c r="I71" s="276">
        <f t="shared" si="4"/>
        <v>1.2</v>
      </c>
      <c r="J71" s="276">
        <v>3</v>
      </c>
      <c r="K71" s="296"/>
      <c r="L71" s="158"/>
      <c r="S71" s="158"/>
      <c r="T71" s="158"/>
      <c r="U71" s="158"/>
      <c r="V71" s="158"/>
      <c r="W71" s="158"/>
      <c r="X71" s="158"/>
      <c r="Y71" s="158"/>
      <c r="Z71" s="158"/>
      <c r="AA71" s="158"/>
      <c r="AB71" s="158"/>
      <c r="AC71" s="158"/>
      <c r="AD71" s="158"/>
      <c r="AE71" s="158"/>
      <c r="AF71" s="158"/>
      <c r="AG71" s="158"/>
      <c r="AH71" s="158"/>
      <c r="AI71" s="158"/>
      <c r="AJ71" s="158"/>
      <c r="AK71" s="182"/>
      <c r="AL71" s="182"/>
      <c r="AM71" s="182"/>
    </row>
    <row r="72" spans="1:39" s="56" customFormat="1" x14ac:dyDescent="0.2">
      <c r="A72" s="261">
        <v>8</v>
      </c>
      <c r="B72" s="266" t="s">
        <v>709</v>
      </c>
      <c r="C72" s="261"/>
      <c r="D72" s="267">
        <f>+D73+D79</f>
        <v>12.260899999999999</v>
      </c>
      <c r="E72" s="265">
        <f t="shared" si="0"/>
        <v>1.6951889733922496</v>
      </c>
      <c r="F72" s="267"/>
      <c r="G72" s="267"/>
      <c r="H72" s="267"/>
      <c r="I72" s="267"/>
      <c r="J72" s="267"/>
      <c r="K72" s="291"/>
      <c r="L72" s="176"/>
      <c r="M72" s="176"/>
      <c r="N72" s="174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7"/>
      <c r="AL72" s="177"/>
      <c r="AM72" s="177"/>
    </row>
    <row r="73" spans="1:39" s="54" customFormat="1" x14ac:dyDescent="0.25">
      <c r="A73" s="269">
        <v>8.1</v>
      </c>
      <c r="B73" s="270" t="s">
        <v>95</v>
      </c>
      <c r="C73" s="269"/>
      <c r="D73" s="271">
        <f>+SUM(D74:D78)</f>
        <v>1.9856999999999998</v>
      </c>
      <c r="E73" s="292">
        <f t="shared" si="0"/>
        <v>0.27454238632278138</v>
      </c>
      <c r="F73" s="271"/>
      <c r="G73" s="271"/>
      <c r="H73" s="271"/>
      <c r="I73" s="271"/>
      <c r="J73" s="271"/>
      <c r="K73" s="293"/>
      <c r="L73" s="180"/>
      <c r="M73" s="180">
        <f>D49+D278</f>
        <v>37.136400000000002</v>
      </c>
      <c r="N73" s="178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0"/>
      <c r="AJ73" s="180"/>
      <c r="AK73" s="181"/>
      <c r="AL73" s="181"/>
      <c r="AM73" s="181"/>
    </row>
    <row r="74" spans="1:39" hidden="1" x14ac:dyDescent="0.25">
      <c r="A74" s="274"/>
      <c r="B74" s="278"/>
      <c r="C74" s="274" t="s">
        <v>222</v>
      </c>
      <c r="D74" s="276">
        <v>0.56359999999999999</v>
      </c>
      <c r="E74" s="279">
        <f t="shared" si="0"/>
        <v>7.792319531224233E-2</v>
      </c>
      <c r="F74" s="276"/>
      <c r="G74" s="276"/>
      <c r="H74" s="276"/>
      <c r="I74" s="276"/>
      <c r="J74" s="276"/>
      <c r="K74" s="296"/>
      <c r="L74" s="158"/>
      <c r="S74" s="158"/>
      <c r="T74" s="158"/>
      <c r="U74" s="158"/>
      <c r="V74" s="158"/>
      <c r="W74" s="158"/>
      <c r="X74" s="158"/>
      <c r="Y74" s="158"/>
      <c r="Z74" s="158"/>
      <c r="AA74" s="158"/>
      <c r="AB74" s="158"/>
      <c r="AC74" s="158"/>
      <c r="AD74" s="158"/>
      <c r="AE74" s="158"/>
      <c r="AF74" s="158"/>
      <c r="AG74" s="158"/>
      <c r="AH74" s="158"/>
      <c r="AI74" s="158"/>
      <c r="AJ74" s="158"/>
      <c r="AK74" s="182"/>
      <c r="AL74" s="182"/>
      <c r="AM74" s="182"/>
    </row>
    <row r="75" spans="1:39" hidden="1" x14ac:dyDescent="0.25">
      <c r="A75" s="274"/>
      <c r="B75" s="278"/>
      <c r="C75" s="274" t="s">
        <v>220</v>
      </c>
      <c r="D75" s="276">
        <v>0.60470000000000002</v>
      </c>
      <c r="E75" s="279">
        <f t="shared" ref="E75" si="51">+D75/$D$3*100</f>
        <v>8.3605671052719904E-2</v>
      </c>
      <c r="F75" s="276"/>
      <c r="G75" s="276"/>
      <c r="H75" s="276"/>
      <c r="I75" s="276"/>
      <c r="J75" s="276"/>
      <c r="K75" s="296"/>
      <c r="L75" s="158"/>
      <c r="S75" s="158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  <c r="AI75" s="158"/>
      <c r="AJ75" s="158"/>
      <c r="AK75" s="182"/>
      <c r="AL75" s="182"/>
      <c r="AM75" s="182"/>
    </row>
    <row r="76" spans="1:39" hidden="1" x14ac:dyDescent="0.25">
      <c r="A76" s="274"/>
      <c r="B76" s="278"/>
      <c r="C76" s="274" t="s">
        <v>218</v>
      </c>
      <c r="D76" s="276">
        <v>0.18049999999999999</v>
      </c>
      <c r="E76" s="279">
        <f t="shared" si="0"/>
        <v>2.495588494297328E-2</v>
      </c>
      <c r="F76" s="276"/>
      <c r="G76" s="276"/>
      <c r="H76" s="276"/>
      <c r="I76" s="276"/>
      <c r="J76" s="276"/>
      <c r="K76" s="296"/>
      <c r="L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  <c r="AK76" s="182"/>
      <c r="AL76" s="182"/>
      <c r="AM76" s="182"/>
    </row>
    <row r="77" spans="1:39" hidden="1" x14ac:dyDescent="0.25">
      <c r="A77" s="274"/>
      <c r="B77" s="278"/>
      <c r="C77" s="274" t="s">
        <v>216</v>
      </c>
      <c r="D77" s="276">
        <v>0.35289999999999999</v>
      </c>
      <c r="E77" s="279">
        <f t="shared" si="0"/>
        <v>4.8791865907896234E-2</v>
      </c>
      <c r="F77" s="276"/>
      <c r="G77" s="276"/>
      <c r="H77" s="276"/>
      <c r="I77" s="276"/>
      <c r="J77" s="276"/>
      <c r="K77" s="296"/>
      <c r="L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82"/>
      <c r="AL77" s="182"/>
      <c r="AM77" s="182"/>
    </row>
    <row r="78" spans="1:39" hidden="1" x14ac:dyDescent="0.25">
      <c r="A78" s="274"/>
      <c r="B78" s="278"/>
      <c r="C78" s="274" t="s">
        <v>744</v>
      </c>
      <c r="D78" s="276">
        <v>0.28399999999999997</v>
      </c>
      <c r="E78" s="279">
        <f t="shared" si="0"/>
        <v>3.9265769106949643E-2</v>
      </c>
      <c r="F78" s="276"/>
      <c r="G78" s="276"/>
      <c r="H78" s="276"/>
      <c r="I78" s="276"/>
      <c r="J78" s="276"/>
      <c r="K78" s="296"/>
      <c r="L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82"/>
      <c r="AL78" s="182"/>
      <c r="AM78" s="182"/>
    </row>
    <row r="79" spans="1:39" s="54" customFormat="1" x14ac:dyDescent="0.25">
      <c r="A79" s="269">
        <v>8.1999999999999993</v>
      </c>
      <c r="B79" s="270" t="s">
        <v>53</v>
      </c>
      <c r="C79" s="269"/>
      <c r="D79" s="271">
        <f>+SUM(D80:D84)</f>
        <v>10.2752</v>
      </c>
      <c r="E79" s="292">
        <f t="shared" si="0"/>
        <v>1.4206465870694682</v>
      </c>
      <c r="F79" s="271"/>
      <c r="G79" s="271"/>
      <c r="H79" s="271"/>
      <c r="I79" s="271"/>
      <c r="J79" s="271"/>
      <c r="K79" s="293"/>
      <c r="L79" s="180"/>
      <c r="M79" s="180"/>
      <c r="N79" s="178"/>
      <c r="O79" s="180"/>
      <c r="P79" s="180"/>
      <c r="Q79" s="180"/>
      <c r="R79" s="180"/>
      <c r="S79" s="180"/>
      <c r="T79" s="180"/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  <c r="AF79" s="180"/>
      <c r="AG79" s="180"/>
      <c r="AH79" s="180"/>
      <c r="AI79" s="180"/>
      <c r="AJ79" s="180"/>
      <c r="AK79" s="181"/>
      <c r="AL79" s="181"/>
      <c r="AM79" s="181"/>
    </row>
    <row r="80" spans="1:39" hidden="1" x14ac:dyDescent="0.25">
      <c r="A80" s="274"/>
      <c r="B80" s="278"/>
      <c r="C80" s="274" t="s">
        <v>316</v>
      </c>
      <c r="D80" s="276">
        <v>1.139</v>
      </c>
      <c r="E80" s="279">
        <f t="shared" si="0"/>
        <v>0.15747785567892836</v>
      </c>
      <c r="F80" s="276"/>
      <c r="G80" s="276"/>
      <c r="H80" s="276"/>
      <c r="I80" s="276"/>
      <c r="J80" s="276"/>
      <c r="K80" s="296"/>
      <c r="L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82"/>
      <c r="AL80" s="182"/>
      <c r="AM80" s="182"/>
    </row>
    <row r="81" spans="1:39" hidden="1" x14ac:dyDescent="0.25">
      <c r="A81" s="274"/>
      <c r="B81" s="278"/>
      <c r="C81" s="274" t="s">
        <v>314</v>
      </c>
      <c r="D81" s="276">
        <v>6.2721999999999998</v>
      </c>
      <c r="E81" s="279">
        <f t="shared" si="0"/>
        <v>0.86719280631200546</v>
      </c>
      <c r="F81" s="276"/>
      <c r="G81" s="276"/>
      <c r="H81" s="276"/>
      <c r="I81" s="276"/>
      <c r="J81" s="276"/>
      <c r="K81" s="296"/>
      <c r="L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82"/>
      <c r="AL81" s="182"/>
      <c r="AM81" s="182"/>
    </row>
    <row r="82" spans="1:39" hidden="1" x14ac:dyDescent="0.25">
      <c r="A82" s="274"/>
      <c r="B82" s="278"/>
      <c r="C82" s="274" t="s">
        <v>312</v>
      </c>
      <c r="D82" s="276">
        <v>1.1433</v>
      </c>
      <c r="E82" s="279">
        <f t="shared" si="0"/>
        <v>0.15807237260554763</v>
      </c>
      <c r="F82" s="276"/>
      <c r="G82" s="276"/>
      <c r="H82" s="276"/>
      <c r="I82" s="276"/>
      <c r="J82" s="276"/>
      <c r="K82" s="296"/>
      <c r="L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82"/>
      <c r="AL82" s="182"/>
      <c r="AM82" s="182"/>
    </row>
    <row r="83" spans="1:39" hidden="1" x14ac:dyDescent="0.25">
      <c r="A83" s="274"/>
      <c r="B83" s="278"/>
      <c r="C83" s="274" t="s">
        <v>310</v>
      </c>
      <c r="D83" s="276">
        <v>1.0840000000000001</v>
      </c>
      <c r="E83" s="279">
        <f t="shared" ref="E83" si="52">+D83/$D$3*100</f>
        <v>0.14987356940821628</v>
      </c>
      <c r="F83" s="276"/>
      <c r="G83" s="276"/>
      <c r="H83" s="276"/>
      <c r="I83" s="276"/>
      <c r="J83" s="276"/>
      <c r="K83" s="296"/>
      <c r="L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82"/>
      <c r="AL83" s="182"/>
      <c r="AM83" s="182"/>
    </row>
    <row r="84" spans="1:39" hidden="1" x14ac:dyDescent="0.25">
      <c r="A84" s="274"/>
      <c r="B84" s="278"/>
      <c r="C84" s="274" t="s">
        <v>308</v>
      </c>
      <c r="D84" s="276">
        <v>0.63670000000000004</v>
      </c>
      <c r="E84" s="279">
        <f t="shared" ref="E84:E149" si="53">+D84/$D$3*100</f>
        <v>8.802998306477057E-2</v>
      </c>
      <c r="F84" s="276"/>
      <c r="G84" s="276"/>
      <c r="H84" s="276"/>
      <c r="I84" s="276"/>
      <c r="J84" s="276"/>
      <c r="K84" s="296"/>
      <c r="L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82"/>
      <c r="AL84" s="182"/>
      <c r="AM84" s="182"/>
    </row>
    <row r="85" spans="1:39" s="91" customFormat="1" ht="20.25" customHeight="1" x14ac:dyDescent="0.2">
      <c r="A85" s="263" t="s">
        <v>608</v>
      </c>
      <c r="B85" s="264" t="s">
        <v>624</v>
      </c>
      <c r="C85" s="263"/>
      <c r="D85" s="265">
        <f>+D86</f>
        <v>4.0648999999999997</v>
      </c>
      <c r="E85" s="265">
        <f t="shared" si="53"/>
        <v>0.56201205930577325</v>
      </c>
      <c r="F85" s="265"/>
      <c r="G85" s="265"/>
      <c r="H85" s="265"/>
      <c r="I85" s="265"/>
      <c r="J85" s="265"/>
      <c r="K85" s="290"/>
      <c r="L85" s="170"/>
      <c r="M85" s="170"/>
      <c r="N85" s="171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2"/>
      <c r="AL85" s="173"/>
      <c r="AM85" s="173"/>
    </row>
    <row r="86" spans="1:39" s="56" customFormat="1" x14ac:dyDescent="0.2">
      <c r="A86" s="261">
        <v>1</v>
      </c>
      <c r="B86" s="266" t="s">
        <v>120</v>
      </c>
      <c r="C86" s="261"/>
      <c r="D86" s="267">
        <f>+D87+D88</f>
        <v>4.0648999999999997</v>
      </c>
      <c r="E86" s="265">
        <f t="shared" si="53"/>
        <v>0.56201205930577325</v>
      </c>
      <c r="F86" s="267"/>
      <c r="G86" s="267"/>
      <c r="H86" s="267"/>
      <c r="I86" s="267"/>
      <c r="J86" s="267"/>
      <c r="K86" s="291"/>
      <c r="L86" s="176"/>
      <c r="M86" s="176"/>
      <c r="N86" s="174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7"/>
      <c r="AL86" s="177"/>
      <c r="AM86" s="177"/>
    </row>
    <row r="87" spans="1:39" hidden="1" x14ac:dyDescent="0.25">
      <c r="A87" s="274"/>
      <c r="B87" s="278"/>
      <c r="C87" s="274" t="s">
        <v>320</v>
      </c>
      <c r="D87" s="276">
        <v>3.3353999999999999</v>
      </c>
      <c r="E87" s="279">
        <f t="shared" si="53"/>
        <v>0.46115157140605584</v>
      </c>
      <c r="F87" s="276"/>
      <c r="G87" s="276"/>
      <c r="H87" s="276"/>
      <c r="I87" s="276"/>
      <c r="J87" s="276"/>
      <c r="K87" s="296"/>
      <c r="L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82"/>
      <c r="AL87" s="182"/>
      <c r="AM87" s="182"/>
    </row>
    <row r="88" spans="1:39" hidden="1" x14ac:dyDescent="0.25">
      <c r="A88" s="274"/>
      <c r="B88" s="278"/>
      <c r="C88" s="274" t="s">
        <v>318</v>
      </c>
      <c r="D88" s="276">
        <v>0.72950000000000004</v>
      </c>
      <c r="E88" s="279">
        <f t="shared" si="53"/>
        <v>0.10086048789971749</v>
      </c>
      <c r="F88" s="276"/>
      <c r="G88" s="276"/>
      <c r="H88" s="276"/>
      <c r="I88" s="276"/>
      <c r="J88" s="276"/>
      <c r="K88" s="296"/>
      <c r="L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82"/>
      <c r="AL88" s="182"/>
      <c r="AM88" s="182"/>
    </row>
    <row r="89" spans="1:39" s="91" customFormat="1" ht="20.25" customHeight="1" x14ac:dyDescent="0.2">
      <c r="A89" s="263" t="s">
        <v>623</v>
      </c>
      <c r="B89" s="264" t="s">
        <v>605</v>
      </c>
      <c r="C89" s="263"/>
      <c r="D89" s="265">
        <f>+D4-D5-D48-D85</f>
        <v>27.311991999999996</v>
      </c>
      <c r="E89" s="265">
        <f t="shared" si="53"/>
        <v>3.7761491962072387</v>
      </c>
      <c r="F89" s="265"/>
      <c r="G89" s="265"/>
      <c r="H89" s="265"/>
      <c r="I89" s="265"/>
      <c r="J89" s="265"/>
      <c r="K89" s="290"/>
      <c r="L89" s="170"/>
      <c r="M89" s="170"/>
      <c r="N89" s="171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2"/>
      <c r="AL89" s="173"/>
      <c r="AM89" s="173"/>
    </row>
    <row r="90" spans="1:39" s="90" customFormat="1" ht="18" customHeight="1" x14ac:dyDescent="0.2">
      <c r="A90" s="261" t="s">
        <v>671</v>
      </c>
      <c r="B90" s="266" t="s">
        <v>585</v>
      </c>
      <c r="C90" s="261"/>
      <c r="D90" s="267">
        <f>1714536.51/10000</f>
        <v>171.45365100000001</v>
      </c>
      <c r="E90" s="265">
        <f t="shared" si="53"/>
        <v>23.705138988413825</v>
      </c>
      <c r="F90" s="267">
        <f>+G90*100/D90</f>
        <v>43.097312054323062</v>
      </c>
      <c r="G90" s="267">
        <f>+G91+G158</f>
        <v>73.891914999999997</v>
      </c>
      <c r="H90" s="267"/>
      <c r="I90" s="267"/>
      <c r="J90" s="267"/>
      <c r="K90" s="291">
        <f>+K92</f>
        <v>19113.140398615251</v>
      </c>
      <c r="L90" s="184"/>
      <c r="M90" s="184"/>
      <c r="N90" s="185"/>
      <c r="O90" s="184"/>
      <c r="P90" s="184"/>
      <c r="Q90" s="184"/>
      <c r="R90" s="184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8"/>
      <c r="AD90" s="168"/>
      <c r="AE90" s="168"/>
      <c r="AF90" s="168"/>
      <c r="AG90" s="168"/>
      <c r="AH90" s="168"/>
      <c r="AI90" s="168"/>
      <c r="AJ90" s="168"/>
      <c r="AK90" s="186"/>
      <c r="AL90" s="186"/>
      <c r="AM90" s="186"/>
    </row>
    <row r="91" spans="1:39" s="91" customFormat="1" ht="18" customHeight="1" x14ac:dyDescent="0.2">
      <c r="A91" s="263" t="s">
        <v>606</v>
      </c>
      <c r="B91" s="264" t="s">
        <v>594</v>
      </c>
      <c r="C91" s="261"/>
      <c r="D91" s="267">
        <f>+D92+D147+D149+D154</f>
        <v>114.35309999999998</v>
      </c>
      <c r="E91" s="265">
        <f t="shared" si="53"/>
        <v>15.810431060788463</v>
      </c>
      <c r="F91" s="267">
        <f>+G91*100/D91</f>
        <v>55.733578713650971</v>
      </c>
      <c r="G91" s="267">
        <f>+G92+G147+G149+G154</f>
        <v>63.733074999999999</v>
      </c>
      <c r="H91" s="267"/>
      <c r="I91" s="267"/>
      <c r="J91" s="267"/>
      <c r="K91" s="291"/>
      <c r="L91" s="187"/>
      <c r="M91" s="187"/>
      <c r="N91" s="188"/>
      <c r="O91" s="187"/>
      <c r="P91" s="187"/>
      <c r="Q91" s="187"/>
      <c r="R91" s="187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89"/>
      <c r="AL91" s="189"/>
      <c r="AM91" s="189"/>
    </row>
    <row r="92" spans="1:39" s="56" customFormat="1" x14ac:dyDescent="0.2">
      <c r="A92" s="261">
        <v>1</v>
      </c>
      <c r="B92" s="266" t="s">
        <v>593</v>
      </c>
      <c r="C92" s="261"/>
      <c r="D92" s="267">
        <f>+D93+D113+D132+D137+D143</f>
        <v>109.14229999999999</v>
      </c>
      <c r="E92" s="265">
        <f t="shared" si="53"/>
        <v>15.089987153526163</v>
      </c>
      <c r="F92" s="267">
        <f>+G92*100/D92</f>
        <v>56.48474972581667</v>
      </c>
      <c r="G92" s="267">
        <f>+G93+G113+G132+G137+G143</f>
        <v>61.648755000000001</v>
      </c>
      <c r="H92" s="267"/>
      <c r="I92" s="267"/>
      <c r="J92" s="267"/>
      <c r="K92" s="291">
        <f>+K93+K113</f>
        <v>19113.140398615251</v>
      </c>
      <c r="L92" s="174"/>
      <c r="M92" s="176"/>
      <c r="N92" s="174"/>
      <c r="O92" s="176"/>
      <c r="P92" s="176"/>
      <c r="Q92" s="176"/>
      <c r="R92" s="176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5"/>
      <c r="AH92" s="175"/>
      <c r="AI92" s="175"/>
      <c r="AJ92" s="175"/>
      <c r="AK92" s="190"/>
      <c r="AL92" s="190"/>
      <c r="AM92" s="190"/>
    </row>
    <row r="93" spans="1:39" s="54" customFormat="1" x14ac:dyDescent="0.25">
      <c r="A93" s="269">
        <v>1.1000000000000001</v>
      </c>
      <c r="B93" s="270" t="s">
        <v>89</v>
      </c>
      <c r="C93" s="269"/>
      <c r="D93" s="271">
        <f>+D94</f>
        <v>49.105000000000004</v>
      </c>
      <c r="E93" s="292">
        <f t="shared" si="53"/>
        <v>6.789245042242122</v>
      </c>
      <c r="F93" s="271">
        <v>60</v>
      </c>
      <c r="G93" s="271">
        <f>+D93*F93/100</f>
        <v>29.463000000000001</v>
      </c>
      <c r="H93" s="271">
        <f>+G93*J93</f>
        <v>206.24100000000001</v>
      </c>
      <c r="I93" s="271">
        <f>+H93/D93</f>
        <v>4.2</v>
      </c>
      <c r="J93" s="271">
        <v>7</v>
      </c>
      <c r="K93" s="293">
        <f>+N94+N96+N98+N100</f>
        <v>15491.214285714286</v>
      </c>
      <c r="L93" s="178"/>
      <c r="M93" s="180"/>
      <c r="N93" s="178"/>
      <c r="O93" s="180"/>
      <c r="P93" s="180"/>
      <c r="Q93" s="180"/>
      <c r="R93" s="180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91"/>
      <c r="AL93" s="191"/>
      <c r="AM93" s="191"/>
    </row>
    <row r="94" spans="1:39" x14ac:dyDescent="0.25">
      <c r="A94" s="272" t="s">
        <v>707</v>
      </c>
      <c r="B94" s="273" t="s">
        <v>36</v>
      </c>
      <c r="C94" s="272"/>
      <c r="D94" s="275">
        <f>+SUM(D95:D112)</f>
        <v>49.105000000000004</v>
      </c>
      <c r="E94" s="294">
        <f t="shared" si="53"/>
        <v>6.789245042242122</v>
      </c>
      <c r="F94" s="275">
        <v>60</v>
      </c>
      <c r="G94" s="275">
        <f>+D94*F94/100</f>
        <v>29.463000000000001</v>
      </c>
      <c r="H94" s="275">
        <f>+G94*J94</f>
        <v>206.24100000000001</v>
      </c>
      <c r="I94" s="275">
        <f>+H94/D94</f>
        <v>4.2</v>
      </c>
      <c r="J94" s="275">
        <v>7</v>
      </c>
      <c r="K94" s="295"/>
      <c r="L94" s="158"/>
      <c r="M94" s="158">
        <f>+D94-M96-M98-M100</f>
        <v>29.201800000000002</v>
      </c>
      <c r="N94" s="159">
        <f>+M94*10000/28</f>
        <v>10429.214285714286</v>
      </c>
    </row>
    <row r="95" spans="1:39" hidden="1" x14ac:dyDescent="0.25">
      <c r="A95" s="274"/>
      <c r="B95" s="278"/>
      <c r="C95" s="274" t="s">
        <v>456</v>
      </c>
      <c r="D95" s="276">
        <v>3.6052</v>
      </c>
      <c r="E95" s="279">
        <f t="shared" si="53"/>
        <v>0.49845405205765803</v>
      </c>
      <c r="F95" s="276">
        <v>60</v>
      </c>
      <c r="G95" s="276">
        <f>+D95*F95/100</f>
        <v>2.1631200000000002</v>
      </c>
      <c r="H95" s="276">
        <f>+G95*J95</f>
        <v>15.141840000000002</v>
      </c>
      <c r="I95" s="276">
        <f>+H95/D95</f>
        <v>4.2</v>
      </c>
      <c r="J95" s="276">
        <v>7</v>
      </c>
      <c r="K95" s="296"/>
      <c r="L95" s="158"/>
      <c r="M95" s="183" t="s">
        <v>642</v>
      </c>
      <c r="N95" s="178"/>
    </row>
    <row r="96" spans="1:39" hidden="1" x14ac:dyDescent="0.25">
      <c r="A96" s="274"/>
      <c r="B96" s="278"/>
      <c r="C96" s="274" t="s">
        <v>452</v>
      </c>
      <c r="D96" s="276">
        <v>4.3901000000000003</v>
      </c>
      <c r="E96" s="279">
        <f t="shared" si="53"/>
        <v>0.60697413012823831</v>
      </c>
      <c r="F96" s="276">
        <v>60</v>
      </c>
      <c r="G96" s="276">
        <f t="shared" ref="G96:G111" si="54">+D96*F96/100</f>
        <v>2.6340599999999998</v>
      </c>
      <c r="H96" s="276">
        <f t="shared" ref="H96:H111" si="55">+G96*J96</f>
        <v>18.438420000000001</v>
      </c>
      <c r="I96" s="276">
        <f t="shared" ref="I96:I157" si="56">+H96/D96</f>
        <v>4.2</v>
      </c>
      <c r="J96" s="276">
        <v>7</v>
      </c>
      <c r="K96" s="296"/>
      <c r="L96" s="158"/>
      <c r="M96" s="158">
        <f>+SUM(D110:D112)</f>
        <v>5.4906000000000006</v>
      </c>
      <c r="N96" s="159">
        <f>+QHCT!E5+QHCT!G5+QHCT!H5</f>
        <v>1286</v>
      </c>
    </row>
    <row r="97" spans="1:14" hidden="1" x14ac:dyDescent="0.25">
      <c r="A97" s="274"/>
      <c r="B97" s="278"/>
      <c r="C97" s="274" t="s">
        <v>454</v>
      </c>
      <c r="D97" s="276">
        <v>5.3308</v>
      </c>
      <c r="E97" s="279">
        <f t="shared" si="53"/>
        <v>0.73703507730749007</v>
      </c>
      <c r="F97" s="276">
        <v>60</v>
      </c>
      <c r="G97" s="276">
        <f t="shared" si="54"/>
        <v>3.19848</v>
      </c>
      <c r="H97" s="276">
        <f t="shared" si="55"/>
        <v>22.38936</v>
      </c>
      <c r="I97" s="276">
        <f t="shared" si="56"/>
        <v>4.2</v>
      </c>
      <c r="J97" s="276">
        <v>7</v>
      </c>
      <c r="K97" s="296"/>
      <c r="L97" s="158"/>
      <c r="M97" s="183" t="s">
        <v>643</v>
      </c>
    </row>
    <row r="98" spans="1:14" hidden="1" x14ac:dyDescent="0.25">
      <c r="A98" s="274"/>
      <c r="B98" s="278"/>
      <c r="C98" s="274" t="s">
        <v>450</v>
      </c>
      <c r="D98" s="276">
        <v>3.3336999999999999</v>
      </c>
      <c r="E98" s="279">
        <f t="shared" si="53"/>
        <v>0.46091652983041559</v>
      </c>
      <c r="F98" s="276">
        <v>60</v>
      </c>
      <c r="G98" s="276">
        <f t="shared" si="54"/>
        <v>2.0002200000000001</v>
      </c>
      <c r="H98" s="276">
        <f t="shared" si="55"/>
        <v>14.00154</v>
      </c>
      <c r="I98" s="276">
        <f t="shared" si="56"/>
        <v>4.2</v>
      </c>
      <c r="J98" s="276">
        <v>7</v>
      </c>
      <c r="K98" s="296"/>
      <c r="L98" s="158"/>
      <c r="M98" s="158">
        <f>+D104+D105</f>
        <v>9.1425999999999998</v>
      </c>
      <c r="N98" s="159">
        <f>+QHCT!E4+QHCT!G4</f>
        <v>2464</v>
      </c>
    </row>
    <row r="99" spans="1:14" hidden="1" x14ac:dyDescent="0.25">
      <c r="A99" s="274"/>
      <c r="B99" s="278"/>
      <c r="C99" s="274" t="s">
        <v>448</v>
      </c>
      <c r="D99" s="276">
        <v>1.2763</v>
      </c>
      <c r="E99" s="279">
        <f t="shared" si="53"/>
        <v>0.17646091940563324</v>
      </c>
      <c r="F99" s="276">
        <v>60</v>
      </c>
      <c r="G99" s="276">
        <f t="shared" si="54"/>
        <v>0.76578000000000002</v>
      </c>
      <c r="H99" s="276">
        <f t="shared" si="55"/>
        <v>5.3604599999999998</v>
      </c>
      <c r="I99" s="276">
        <f t="shared" si="56"/>
        <v>4.2</v>
      </c>
      <c r="J99" s="276">
        <v>7</v>
      </c>
      <c r="K99" s="296"/>
      <c r="L99" s="158"/>
      <c r="M99" s="183" t="s">
        <v>644</v>
      </c>
    </row>
    <row r="100" spans="1:14" hidden="1" x14ac:dyDescent="0.25">
      <c r="A100" s="274"/>
      <c r="B100" s="278"/>
      <c r="C100" s="274" t="s">
        <v>444</v>
      </c>
      <c r="D100" s="276">
        <v>0.43130000000000002</v>
      </c>
      <c r="E100" s="279">
        <f t="shared" si="53"/>
        <v>5.9631430337420362E-2</v>
      </c>
      <c r="F100" s="276">
        <v>60</v>
      </c>
      <c r="G100" s="276">
        <f t="shared" si="54"/>
        <v>0.25878000000000001</v>
      </c>
      <c r="H100" s="276">
        <f t="shared" si="55"/>
        <v>1.8114600000000001</v>
      </c>
      <c r="I100" s="276">
        <f t="shared" si="56"/>
        <v>4.2</v>
      </c>
      <c r="J100" s="276">
        <v>7</v>
      </c>
      <c r="K100" s="296"/>
      <c r="L100" s="158"/>
      <c r="M100" s="158">
        <f>+D102+D103</f>
        <v>5.27</v>
      </c>
      <c r="N100" s="159">
        <f>+QHCT!E8+QHCT!G8</f>
        <v>1312</v>
      </c>
    </row>
    <row r="101" spans="1:14" hidden="1" x14ac:dyDescent="0.25">
      <c r="A101" s="274"/>
      <c r="B101" s="278"/>
      <c r="C101" s="274" t="s">
        <v>586</v>
      </c>
      <c r="D101" s="276">
        <v>3.0992000000000002</v>
      </c>
      <c r="E101" s="279">
        <f t="shared" si="53"/>
        <v>0.42849461836710689</v>
      </c>
      <c r="F101" s="276">
        <v>60</v>
      </c>
      <c r="G101" s="276">
        <f t="shared" si="54"/>
        <v>1.8595200000000001</v>
      </c>
      <c r="H101" s="276">
        <f t="shared" si="55"/>
        <v>13.016640000000001</v>
      </c>
      <c r="I101" s="276">
        <f t="shared" si="56"/>
        <v>4.2</v>
      </c>
      <c r="J101" s="276">
        <v>7</v>
      </c>
      <c r="K101" s="296"/>
      <c r="L101" s="158"/>
    </row>
    <row r="102" spans="1:14" hidden="1" x14ac:dyDescent="0.25">
      <c r="A102" s="274"/>
      <c r="B102" s="278"/>
      <c r="C102" s="274" t="s">
        <v>587</v>
      </c>
      <c r="D102" s="276">
        <v>1.42</v>
      </c>
      <c r="E102" s="279">
        <f t="shared" si="53"/>
        <v>0.19632884553474825</v>
      </c>
      <c r="F102" s="276">
        <v>60</v>
      </c>
      <c r="G102" s="276">
        <f t="shared" si="54"/>
        <v>0.85199999999999987</v>
      </c>
      <c r="H102" s="276">
        <f t="shared" si="55"/>
        <v>5.9639999999999986</v>
      </c>
      <c r="I102" s="276">
        <f t="shared" si="56"/>
        <v>4.1999999999999993</v>
      </c>
      <c r="J102" s="276">
        <v>7</v>
      </c>
      <c r="K102" s="296"/>
      <c r="L102" s="158"/>
    </row>
    <row r="103" spans="1:14" hidden="1" x14ac:dyDescent="0.25">
      <c r="A103" s="274"/>
      <c r="B103" s="278"/>
      <c r="C103" s="274" t="s">
        <v>588</v>
      </c>
      <c r="D103" s="276">
        <v>3.85</v>
      </c>
      <c r="E103" s="279">
        <f t="shared" si="53"/>
        <v>0.53230003894984557</v>
      </c>
      <c r="F103" s="276">
        <v>60</v>
      </c>
      <c r="G103" s="276">
        <f t="shared" si="54"/>
        <v>2.31</v>
      </c>
      <c r="H103" s="276">
        <f t="shared" si="55"/>
        <v>16.170000000000002</v>
      </c>
      <c r="I103" s="276">
        <f t="shared" si="56"/>
        <v>4.2</v>
      </c>
      <c r="J103" s="276">
        <v>7</v>
      </c>
      <c r="K103" s="296"/>
      <c r="L103" s="158"/>
    </row>
    <row r="104" spans="1:14" hidden="1" x14ac:dyDescent="0.25">
      <c r="A104" s="274"/>
      <c r="B104" s="278"/>
      <c r="C104" s="274" t="s">
        <v>589</v>
      </c>
      <c r="D104" s="276">
        <v>3.2326000000000001</v>
      </c>
      <c r="E104" s="279">
        <f t="shared" si="53"/>
        <v>0.44693846906734308</v>
      </c>
      <c r="F104" s="276">
        <v>60</v>
      </c>
      <c r="G104" s="276">
        <f t="shared" si="54"/>
        <v>1.9395600000000002</v>
      </c>
      <c r="H104" s="276">
        <f t="shared" si="55"/>
        <v>13.576920000000001</v>
      </c>
      <c r="I104" s="276">
        <f t="shared" si="56"/>
        <v>4.2</v>
      </c>
      <c r="J104" s="276">
        <v>7</v>
      </c>
      <c r="K104" s="296"/>
      <c r="L104" s="158"/>
    </row>
    <row r="105" spans="1:14" hidden="1" x14ac:dyDescent="0.25">
      <c r="A105" s="274"/>
      <c r="B105" s="278"/>
      <c r="C105" s="274" t="s">
        <v>590</v>
      </c>
      <c r="D105" s="276">
        <v>5.91</v>
      </c>
      <c r="E105" s="279">
        <f t="shared" si="53"/>
        <v>0.8171151247256071</v>
      </c>
      <c r="F105" s="276">
        <v>60</v>
      </c>
      <c r="G105" s="276">
        <f t="shared" si="54"/>
        <v>3.5460000000000003</v>
      </c>
      <c r="H105" s="276">
        <f t="shared" si="55"/>
        <v>24.822000000000003</v>
      </c>
      <c r="I105" s="276">
        <f t="shared" si="56"/>
        <v>4.2</v>
      </c>
      <c r="J105" s="276">
        <v>7</v>
      </c>
      <c r="K105" s="296"/>
      <c r="L105" s="158"/>
    </row>
    <row r="106" spans="1:14" hidden="1" x14ac:dyDescent="0.25">
      <c r="A106" s="274"/>
      <c r="B106" s="278"/>
      <c r="C106" s="274" t="s">
        <v>591</v>
      </c>
      <c r="D106" s="276">
        <v>2.1269</v>
      </c>
      <c r="E106" s="279">
        <f t="shared" si="53"/>
        <v>0.29406466307595497</v>
      </c>
      <c r="F106" s="276">
        <v>60</v>
      </c>
      <c r="G106" s="276">
        <f t="shared" si="54"/>
        <v>1.2761400000000001</v>
      </c>
      <c r="H106" s="276">
        <f t="shared" si="55"/>
        <v>8.9329800000000006</v>
      </c>
      <c r="I106" s="276">
        <f t="shared" si="56"/>
        <v>4.2</v>
      </c>
      <c r="J106" s="276">
        <v>7</v>
      </c>
      <c r="K106" s="296"/>
      <c r="L106" s="158"/>
    </row>
    <row r="107" spans="1:14" hidden="1" x14ac:dyDescent="0.25">
      <c r="A107" s="274"/>
      <c r="B107" s="278"/>
      <c r="C107" s="274" t="s">
        <v>446</v>
      </c>
      <c r="D107" s="276">
        <v>1.7976000000000001</v>
      </c>
      <c r="E107" s="279">
        <f t="shared" si="53"/>
        <v>0.24853572727694609</v>
      </c>
      <c r="F107" s="276">
        <v>60</v>
      </c>
      <c r="G107" s="276">
        <f t="shared" si="54"/>
        <v>1.0785600000000002</v>
      </c>
      <c r="H107" s="276">
        <f t="shared" si="55"/>
        <v>7.5499200000000011</v>
      </c>
      <c r="I107" s="276">
        <f t="shared" si="56"/>
        <v>4.2</v>
      </c>
      <c r="J107" s="276">
        <v>7</v>
      </c>
      <c r="K107" s="296"/>
      <c r="L107" s="158"/>
    </row>
    <row r="108" spans="1:14" hidden="1" x14ac:dyDescent="0.25">
      <c r="A108" s="274"/>
      <c r="B108" s="278"/>
      <c r="C108" s="274" t="s">
        <v>442</v>
      </c>
      <c r="D108" s="276">
        <v>2.3022</v>
      </c>
      <c r="E108" s="279">
        <f t="shared" si="53"/>
        <v>0.31830159731697</v>
      </c>
      <c r="F108" s="276">
        <v>60</v>
      </c>
      <c r="G108" s="276">
        <f t="shared" si="54"/>
        <v>1.3813200000000001</v>
      </c>
      <c r="H108" s="276">
        <f t="shared" si="55"/>
        <v>9.6692400000000003</v>
      </c>
      <c r="I108" s="276">
        <f t="shared" si="56"/>
        <v>4.2</v>
      </c>
      <c r="J108" s="276">
        <v>7</v>
      </c>
      <c r="K108" s="296"/>
      <c r="L108" s="158"/>
    </row>
    <row r="109" spans="1:14" hidden="1" x14ac:dyDescent="0.25">
      <c r="A109" s="274"/>
      <c r="B109" s="278"/>
      <c r="C109" s="274" t="s">
        <v>440</v>
      </c>
      <c r="D109" s="276">
        <v>1.5085</v>
      </c>
      <c r="E109" s="279">
        <f t="shared" si="53"/>
        <v>0.20856483344307586</v>
      </c>
      <c r="F109" s="276">
        <v>60</v>
      </c>
      <c r="G109" s="276">
        <f t="shared" si="54"/>
        <v>0.9050999999999999</v>
      </c>
      <c r="H109" s="276">
        <f t="shared" si="55"/>
        <v>6.3356999999999992</v>
      </c>
      <c r="I109" s="276">
        <f t="shared" si="56"/>
        <v>4.1999999999999993</v>
      </c>
      <c r="J109" s="276">
        <v>7</v>
      </c>
      <c r="K109" s="296"/>
      <c r="L109" s="158"/>
    </row>
    <row r="110" spans="1:14" hidden="1" x14ac:dyDescent="0.25">
      <c r="A110" s="274"/>
      <c r="B110" s="278"/>
      <c r="C110" s="274" t="s">
        <v>438</v>
      </c>
      <c r="D110" s="276">
        <v>0.30759999999999998</v>
      </c>
      <c r="E110" s="279">
        <f t="shared" si="53"/>
        <v>4.2528699215837011E-2</v>
      </c>
      <c r="F110" s="276">
        <v>60</v>
      </c>
      <c r="G110" s="276">
        <f t="shared" si="54"/>
        <v>0.18456</v>
      </c>
      <c r="H110" s="276">
        <f t="shared" si="55"/>
        <v>1.29192</v>
      </c>
      <c r="I110" s="276">
        <f t="shared" si="56"/>
        <v>4.2</v>
      </c>
      <c r="J110" s="276">
        <v>7</v>
      </c>
      <c r="K110" s="296"/>
      <c r="L110" s="158"/>
    </row>
    <row r="111" spans="1:14" hidden="1" x14ac:dyDescent="0.25">
      <c r="A111" s="274"/>
      <c r="B111" s="278"/>
      <c r="C111" s="274" t="s">
        <v>436</v>
      </c>
      <c r="D111" s="276">
        <v>1.6666000000000001</v>
      </c>
      <c r="E111" s="279">
        <f t="shared" si="53"/>
        <v>0.23042369997761367</v>
      </c>
      <c r="F111" s="276">
        <v>60</v>
      </c>
      <c r="G111" s="276">
        <f t="shared" si="54"/>
        <v>0.99996000000000007</v>
      </c>
      <c r="H111" s="276">
        <f t="shared" si="55"/>
        <v>6.9997200000000008</v>
      </c>
      <c r="I111" s="276">
        <f t="shared" si="56"/>
        <v>4.2</v>
      </c>
      <c r="J111" s="276">
        <v>7</v>
      </c>
      <c r="K111" s="296"/>
      <c r="L111" s="158"/>
    </row>
    <row r="112" spans="1:14" hidden="1" x14ac:dyDescent="0.25">
      <c r="A112" s="274"/>
      <c r="B112" s="278"/>
      <c r="C112" s="274" t="s">
        <v>434</v>
      </c>
      <c r="D112" s="276">
        <v>3.5164</v>
      </c>
      <c r="E112" s="279">
        <f t="shared" si="53"/>
        <v>0.48617658622421739</v>
      </c>
      <c r="F112" s="276">
        <v>60</v>
      </c>
      <c r="G112" s="276">
        <f t="shared" ref="G112" si="57">+D112*F112/100</f>
        <v>2.1098400000000002</v>
      </c>
      <c r="H112" s="276">
        <f t="shared" ref="H112" si="58">+G112*J112</f>
        <v>14.768880000000001</v>
      </c>
      <c r="I112" s="276">
        <f t="shared" si="56"/>
        <v>4.2</v>
      </c>
      <c r="J112" s="276">
        <v>7</v>
      </c>
      <c r="K112" s="296"/>
      <c r="L112" s="158"/>
    </row>
    <row r="113" spans="1:39" s="54" customFormat="1" x14ac:dyDescent="0.25">
      <c r="A113" s="269">
        <v>1.2</v>
      </c>
      <c r="B113" s="270" t="s">
        <v>90</v>
      </c>
      <c r="C113" s="269"/>
      <c r="D113" s="271">
        <f>+SUM(D114:D131)</f>
        <v>49.389800000000001</v>
      </c>
      <c r="E113" s="292">
        <f t="shared" si="53"/>
        <v>6.8286214191493722</v>
      </c>
      <c r="F113" s="271">
        <f>+F114</f>
        <v>60</v>
      </c>
      <c r="G113" s="271">
        <f>+D113*F113/100</f>
        <v>29.633879999999998</v>
      </c>
      <c r="H113" s="271">
        <f>G113*J113</f>
        <v>207.43715999999998</v>
      </c>
      <c r="I113" s="271">
        <f t="shared" si="56"/>
        <v>4.1999999999999993</v>
      </c>
      <c r="J113" s="271">
        <v>7</v>
      </c>
      <c r="K113" s="293">
        <v>3621.9261129009665</v>
      </c>
      <c r="L113" s="180"/>
      <c r="M113" s="180"/>
      <c r="N113" s="178"/>
      <c r="O113" s="180"/>
      <c r="P113" s="180"/>
      <c r="Q113" s="180"/>
      <c r="R113" s="180"/>
      <c r="S113" s="179"/>
      <c r="T113" s="179"/>
      <c r="U113" s="179"/>
      <c r="V113" s="179"/>
      <c r="W113" s="179"/>
      <c r="X113" s="179"/>
      <c r="Y113" s="179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91"/>
      <c r="AL113" s="191"/>
      <c r="AM113" s="191"/>
    </row>
    <row r="114" spans="1:39" hidden="1" x14ac:dyDescent="0.25">
      <c r="A114" s="274"/>
      <c r="B114" s="278"/>
      <c r="C114" s="274" t="s">
        <v>552</v>
      </c>
      <c r="D114" s="276">
        <v>0.52290000000000003</v>
      </c>
      <c r="E114" s="279">
        <f t="shared" si="53"/>
        <v>7.2296023471915397E-2</v>
      </c>
      <c r="F114" s="276">
        <v>60</v>
      </c>
      <c r="G114" s="276">
        <f>+D114*F114/100</f>
        <v>0.31374000000000002</v>
      </c>
      <c r="H114" s="276">
        <f>+G114*J114</f>
        <v>2.19618</v>
      </c>
      <c r="I114" s="276">
        <f t="shared" si="56"/>
        <v>4.2</v>
      </c>
      <c r="J114" s="276">
        <v>7</v>
      </c>
      <c r="K114" s="296"/>
      <c r="L114" s="158"/>
    </row>
    <row r="115" spans="1:39" hidden="1" x14ac:dyDescent="0.25">
      <c r="A115" s="274"/>
      <c r="B115" s="278"/>
      <c r="C115" s="274" t="s">
        <v>550</v>
      </c>
      <c r="D115" s="276">
        <v>1.1638999999999999</v>
      </c>
      <c r="E115" s="279">
        <f t="shared" si="53"/>
        <v>0.16092052346330527</v>
      </c>
      <c r="F115" s="276">
        <v>60</v>
      </c>
      <c r="G115" s="276">
        <f t="shared" ref="G115:G130" si="59">+D115*F115/100</f>
        <v>0.69834000000000007</v>
      </c>
      <c r="H115" s="276">
        <f t="shared" ref="H115:H130" si="60">+G115*J115</f>
        <v>4.8883800000000006</v>
      </c>
      <c r="I115" s="276">
        <f t="shared" si="56"/>
        <v>4.2000000000000011</v>
      </c>
      <c r="J115" s="276">
        <v>7</v>
      </c>
      <c r="K115" s="296"/>
      <c r="L115" s="158"/>
    </row>
    <row r="116" spans="1:39" hidden="1" x14ac:dyDescent="0.25">
      <c r="A116" s="274"/>
      <c r="B116" s="278"/>
      <c r="C116" s="274" t="s">
        <v>548</v>
      </c>
      <c r="D116" s="276">
        <v>5.16</v>
      </c>
      <c r="E116" s="279">
        <f t="shared" si="53"/>
        <v>0.71342031194316968</v>
      </c>
      <c r="F116" s="276">
        <v>60</v>
      </c>
      <c r="G116" s="276">
        <f t="shared" si="59"/>
        <v>3.0960000000000001</v>
      </c>
      <c r="H116" s="276">
        <f t="shared" si="60"/>
        <v>21.672000000000001</v>
      </c>
      <c r="I116" s="276">
        <f t="shared" si="56"/>
        <v>4.2</v>
      </c>
      <c r="J116" s="276">
        <v>7</v>
      </c>
      <c r="K116" s="296"/>
      <c r="L116" s="158"/>
    </row>
    <row r="117" spans="1:39" hidden="1" x14ac:dyDescent="0.25">
      <c r="A117" s="274"/>
      <c r="B117" s="278"/>
      <c r="C117" s="274" t="s">
        <v>546</v>
      </c>
      <c r="D117" s="276">
        <v>5.73</v>
      </c>
      <c r="E117" s="279">
        <f t="shared" si="53"/>
        <v>0.79222836965782206</v>
      </c>
      <c r="F117" s="276">
        <v>60</v>
      </c>
      <c r="G117" s="276">
        <f t="shared" si="59"/>
        <v>3.4380000000000002</v>
      </c>
      <c r="H117" s="276">
        <f t="shared" si="60"/>
        <v>24.066000000000003</v>
      </c>
      <c r="I117" s="276">
        <f t="shared" si="56"/>
        <v>4.2</v>
      </c>
      <c r="J117" s="276">
        <v>7</v>
      </c>
      <c r="K117" s="296"/>
      <c r="L117" s="158"/>
    </row>
    <row r="118" spans="1:39" hidden="1" x14ac:dyDescent="0.25">
      <c r="A118" s="274"/>
      <c r="B118" s="278"/>
      <c r="C118" s="274" t="s">
        <v>544</v>
      </c>
      <c r="D118" s="276">
        <v>2.0718999999999999</v>
      </c>
      <c r="E118" s="279">
        <f t="shared" si="53"/>
        <v>0.28646037680524283</v>
      </c>
      <c r="F118" s="276">
        <v>60</v>
      </c>
      <c r="G118" s="276">
        <f t="shared" si="59"/>
        <v>1.2431399999999999</v>
      </c>
      <c r="H118" s="276">
        <f t="shared" si="60"/>
        <v>8.7019799999999989</v>
      </c>
      <c r="I118" s="276">
        <f t="shared" si="56"/>
        <v>4.2</v>
      </c>
      <c r="J118" s="276">
        <v>7</v>
      </c>
      <c r="K118" s="296"/>
      <c r="L118" s="158"/>
    </row>
    <row r="119" spans="1:39" hidden="1" x14ac:dyDescent="0.25">
      <c r="A119" s="274"/>
      <c r="B119" s="278"/>
      <c r="C119" s="274" t="s">
        <v>542</v>
      </c>
      <c r="D119" s="276">
        <v>2.4916</v>
      </c>
      <c r="E119" s="279">
        <f t="shared" si="53"/>
        <v>0.34448799403829489</v>
      </c>
      <c r="F119" s="276">
        <v>60</v>
      </c>
      <c r="G119" s="276">
        <f t="shared" si="59"/>
        <v>1.4949600000000001</v>
      </c>
      <c r="H119" s="276">
        <f t="shared" si="60"/>
        <v>10.46472</v>
      </c>
      <c r="I119" s="276">
        <f t="shared" si="56"/>
        <v>4.2</v>
      </c>
      <c r="J119" s="276">
        <v>7</v>
      </c>
      <c r="K119" s="296"/>
      <c r="L119" s="158"/>
    </row>
    <row r="120" spans="1:39" hidden="1" x14ac:dyDescent="0.25">
      <c r="A120" s="274"/>
      <c r="B120" s="278"/>
      <c r="C120" s="274" t="s">
        <v>540</v>
      </c>
      <c r="D120" s="276">
        <v>11.106400000000001</v>
      </c>
      <c r="E120" s="279">
        <f t="shared" si="53"/>
        <v>1.5355680915824845</v>
      </c>
      <c r="F120" s="276">
        <v>60</v>
      </c>
      <c r="G120" s="276">
        <f t="shared" si="59"/>
        <v>6.6638400000000004</v>
      </c>
      <c r="H120" s="276">
        <f t="shared" si="60"/>
        <v>46.646880000000003</v>
      </c>
      <c r="I120" s="276">
        <f t="shared" si="56"/>
        <v>4.2</v>
      </c>
      <c r="J120" s="276">
        <v>7</v>
      </c>
      <c r="K120" s="296"/>
      <c r="L120" s="158"/>
    </row>
    <row r="121" spans="1:39" hidden="1" x14ac:dyDescent="0.25">
      <c r="A121" s="274"/>
      <c r="B121" s="278"/>
      <c r="C121" s="274" t="s">
        <v>538</v>
      </c>
      <c r="D121" s="276">
        <v>0.84489999999999998</v>
      </c>
      <c r="E121" s="279">
        <f t="shared" si="53"/>
        <v>0.1168156630931752</v>
      </c>
      <c r="F121" s="276">
        <v>60</v>
      </c>
      <c r="G121" s="276">
        <f t="shared" si="59"/>
        <v>0.50694000000000006</v>
      </c>
      <c r="H121" s="276">
        <f t="shared" si="60"/>
        <v>3.5485800000000003</v>
      </c>
      <c r="I121" s="276">
        <f t="shared" si="56"/>
        <v>4.2</v>
      </c>
      <c r="J121" s="276">
        <v>7</v>
      </c>
      <c r="K121" s="296"/>
      <c r="L121" s="158"/>
    </row>
    <row r="122" spans="1:39" hidden="1" x14ac:dyDescent="0.25">
      <c r="A122" s="274"/>
      <c r="B122" s="278"/>
      <c r="C122" s="274" t="s">
        <v>536</v>
      </c>
      <c r="D122" s="276">
        <v>7.81</v>
      </c>
      <c r="E122" s="279">
        <f t="shared" si="53"/>
        <v>1.0798086504411153</v>
      </c>
      <c r="F122" s="276">
        <v>60</v>
      </c>
      <c r="G122" s="276">
        <f t="shared" si="59"/>
        <v>4.6859999999999999</v>
      </c>
      <c r="H122" s="276">
        <f t="shared" si="60"/>
        <v>32.802</v>
      </c>
      <c r="I122" s="276">
        <f t="shared" si="56"/>
        <v>4.2</v>
      </c>
      <c r="J122" s="276">
        <v>7</v>
      </c>
      <c r="K122" s="296"/>
      <c r="L122" s="158"/>
    </row>
    <row r="123" spans="1:39" hidden="1" x14ac:dyDescent="0.25">
      <c r="A123" s="274"/>
      <c r="B123" s="278"/>
      <c r="C123" s="274" t="s">
        <v>534</v>
      </c>
      <c r="D123" s="276">
        <v>0.36459999999999998</v>
      </c>
      <c r="E123" s="279">
        <f t="shared" si="53"/>
        <v>5.0409504987302255E-2</v>
      </c>
      <c r="F123" s="276">
        <v>60</v>
      </c>
      <c r="G123" s="276">
        <f t="shared" si="59"/>
        <v>0.21875999999999998</v>
      </c>
      <c r="H123" s="276">
        <f t="shared" si="60"/>
        <v>1.5313199999999998</v>
      </c>
      <c r="I123" s="276">
        <f t="shared" si="56"/>
        <v>4.1999999999999993</v>
      </c>
      <c r="J123" s="276">
        <v>7</v>
      </c>
      <c r="K123" s="296"/>
      <c r="L123" s="158"/>
    </row>
    <row r="124" spans="1:39" hidden="1" x14ac:dyDescent="0.25">
      <c r="A124" s="274"/>
      <c r="B124" s="278"/>
      <c r="C124" s="274" t="s">
        <v>530</v>
      </c>
      <c r="D124" s="276">
        <v>0.97219999999999995</v>
      </c>
      <c r="E124" s="279">
        <f t="shared" si="53"/>
        <v>0.13441612931611424</v>
      </c>
      <c r="F124" s="276">
        <v>60</v>
      </c>
      <c r="G124" s="276">
        <f t="shared" si="59"/>
        <v>0.58331999999999995</v>
      </c>
      <c r="H124" s="276">
        <f t="shared" si="60"/>
        <v>4.08324</v>
      </c>
      <c r="I124" s="276">
        <f t="shared" si="56"/>
        <v>4.2</v>
      </c>
      <c r="J124" s="276">
        <v>7</v>
      </c>
      <c r="K124" s="296"/>
      <c r="L124" s="158"/>
    </row>
    <row r="125" spans="1:39" hidden="1" x14ac:dyDescent="0.25">
      <c r="A125" s="274"/>
      <c r="B125" s="278"/>
      <c r="C125" s="274" t="s">
        <v>532</v>
      </c>
      <c r="D125" s="276">
        <v>0.15820000000000001</v>
      </c>
      <c r="E125" s="279">
        <f t="shared" si="53"/>
        <v>2.1872692509575471E-2</v>
      </c>
      <c r="F125" s="276">
        <v>60</v>
      </c>
      <c r="G125" s="276">
        <f t="shared" si="59"/>
        <v>9.4920000000000004E-2</v>
      </c>
      <c r="H125" s="276">
        <f t="shared" si="60"/>
        <v>0.66444000000000003</v>
      </c>
      <c r="I125" s="276">
        <f t="shared" si="56"/>
        <v>4.2</v>
      </c>
      <c r="J125" s="276">
        <v>7</v>
      </c>
      <c r="K125" s="296"/>
      <c r="L125" s="158"/>
    </row>
    <row r="126" spans="1:39" hidden="1" x14ac:dyDescent="0.25">
      <c r="A126" s="274"/>
      <c r="B126" s="278"/>
      <c r="C126" s="274" t="s">
        <v>528</v>
      </c>
      <c r="D126" s="276">
        <v>0.50080000000000002</v>
      </c>
      <c r="E126" s="279">
        <f t="shared" si="53"/>
        <v>6.9240482988592908E-2</v>
      </c>
      <c r="F126" s="276">
        <v>60</v>
      </c>
      <c r="G126" s="276">
        <f t="shared" si="59"/>
        <v>0.30048000000000002</v>
      </c>
      <c r="H126" s="276">
        <f t="shared" si="60"/>
        <v>2.1033600000000003</v>
      </c>
      <c r="I126" s="276">
        <f t="shared" si="56"/>
        <v>4.2</v>
      </c>
      <c r="J126" s="276">
        <v>7</v>
      </c>
      <c r="K126" s="296"/>
      <c r="L126" s="158"/>
    </row>
    <row r="127" spans="1:39" hidden="1" x14ac:dyDescent="0.25">
      <c r="A127" s="274"/>
      <c r="B127" s="278"/>
      <c r="C127" s="274" t="s">
        <v>520</v>
      </c>
      <c r="D127" s="276">
        <v>4.8924000000000003</v>
      </c>
      <c r="E127" s="279">
        <f t="shared" si="53"/>
        <v>0.67642200274239606</v>
      </c>
      <c r="F127" s="276">
        <v>60</v>
      </c>
      <c r="G127" s="276">
        <f t="shared" si="59"/>
        <v>2.9354400000000003</v>
      </c>
      <c r="H127" s="276">
        <f t="shared" si="60"/>
        <v>20.548080000000002</v>
      </c>
      <c r="I127" s="276">
        <f t="shared" si="56"/>
        <v>4.2</v>
      </c>
      <c r="J127" s="276">
        <v>7</v>
      </c>
      <c r="K127" s="296"/>
      <c r="L127" s="158"/>
    </row>
    <row r="128" spans="1:39" hidden="1" x14ac:dyDescent="0.25">
      <c r="A128" s="274"/>
      <c r="B128" s="278"/>
      <c r="C128" s="274" t="s">
        <v>522</v>
      </c>
      <c r="D128" s="276">
        <v>0.76</v>
      </c>
      <c r="E128" s="279">
        <f t="shared" si="53"/>
        <v>0.10507741028620329</v>
      </c>
      <c r="F128" s="276">
        <v>60</v>
      </c>
      <c r="G128" s="276">
        <f t="shared" si="59"/>
        <v>0.45600000000000002</v>
      </c>
      <c r="H128" s="276">
        <f t="shared" si="60"/>
        <v>3.1920000000000002</v>
      </c>
      <c r="I128" s="276">
        <f t="shared" si="56"/>
        <v>4.2</v>
      </c>
      <c r="J128" s="276">
        <v>7</v>
      </c>
      <c r="K128" s="296"/>
      <c r="L128" s="158"/>
    </row>
    <row r="129" spans="1:39" hidden="1" x14ac:dyDescent="0.25">
      <c r="A129" s="274"/>
      <c r="B129" s="278"/>
      <c r="C129" s="274" t="s">
        <v>524</v>
      </c>
      <c r="D129" s="276">
        <v>1.94</v>
      </c>
      <c r="E129" s="279">
        <f t="shared" si="53"/>
        <v>0.26822391573057153</v>
      </c>
      <c r="F129" s="276">
        <v>60</v>
      </c>
      <c r="G129" s="276">
        <f t="shared" si="59"/>
        <v>1.1639999999999999</v>
      </c>
      <c r="H129" s="276">
        <f t="shared" si="60"/>
        <v>8.1479999999999997</v>
      </c>
      <c r="I129" s="276">
        <f t="shared" si="56"/>
        <v>4.2</v>
      </c>
      <c r="J129" s="276">
        <v>7</v>
      </c>
      <c r="K129" s="296"/>
      <c r="L129" s="158"/>
    </row>
    <row r="130" spans="1:39" hidden="1" x14ac:dyDescent="0.25">
      <c r="A130" s="274"/>
      <c r="B130" s="278"/>
      <c r="C130" s="274" t="s">
        <v>526</v>
      </c>
      <c r="D130" s="276">
        <v>1.46</v>
      </c>
      <c r="E130" s="279">
        <f t="shared" si="53"/>
        <v>0.20185923554981158</v>
      </c>
      <c r="F130" s="276">
        <v>60</v>
      </c>
      <c r="G130" s="276">
        <f t="shared" si="59"/>
        <v>0.87599999999999989</v>
      </c>
      <c r="H130" s="276">
        <f t="shared" si="60"/>
        <v>6.1319999999999997</v>
      </c>
      <c r="I130" s="276">
        <f t="shared" si="56"/>
        <v>4.2</v>
      </c>
      <c r="J130" s="276">
        <v>7</v>
      </c>
      <c r="K130" s="296"/>
      <c r="L130" s="158"/>
    </row>
    <row r="131" spans="1:39" hidden="1" x14ac:dyDescent="0.25">
      <c r="A131" s="274"/>
      <c r="B131" s="278"/>
      <c r="C131" s="274" t="s">
        <v>597</v>
      </c>
      <c r="D131" s="276">
        <v>1.44</v>
      </c>
      <c r="E131" s="279">
        <f t="shared" si="53"/>
        <v>0.19909404054227992</v>
      </c>
      <c r="F131" s="276">
        <v>60</v>
      </c>
      <c r="G131" s="276">
        <f t="shared" ref="G131" si="61">+D131*F131/100</f>
        <v>0.86399999999999988</v>
      </c>
      <c r="H131" s="276">
        <f t="shared" ref="H131" si="62">+G131*J131</f>
        <v>6.0479999999999992</v>
      </c>
      <c r="I131" s="276">
        <f t="shared" si="56"/>
        <v>4.1999999999999993</v>
      </c>
      <c r="J131" s="276">
        <v>7</v>
      </c>
      <c r="K131" s="296"/>
      <c r="L131" s="158"/>
    </row>
    <row r="132" spans="1:39" s="54" customFormat="1" x14ac:dyDescent="0.25">
      <c r="A132" s="269">
        <v>1.3</v>
      </c>
      <c r="B132" s="270" t="s">
        <v>119</v>
      </c>
      <c r="C132" s="269"/>
      <c r="D132" s="271">
        <f>+SUM(D133:D136)</f>
        <v>4.8774999999999995</v>
      </c>
      <c r="E132" s="292">
        <f t="shared" si="53"/>
        <v>0.67436193246178489</v>
      </c>
      <c r="F132" s="271">
        <v>5</v>
      </c>
      <c r="G132" s="271">
        <f t="shared" ref="G132:G137" si="63">+D132*F132/100</f>
        <v>0.24387499999999995</v>
      </c>
      <c r="H132" s="271">
        <f t="shared" ref="H132:H135" si="64">+G132*J132</f>
        <v>0.24387499999999995</v>
      </c>
      <c r="I132" s="271">
        <f t="shared" si="56"/>
        <v>4.9999999999999996E-2</v>
      </c>
      <c r="J132" s="271">
        <v>1</v>
      </c>
      <c r="K132" s="293"/>
      <c r="L132" s="180"/>
      <c r="M132" s="180"/>
      <c r="N132" s="178"/>
      <c r="O132" s="180"/>
      <c r="P132" s="180"/>
      <c r="Q132" s="180"/>
      <c r="R132" s="180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79"/>
      <c r="AC132" s="179"/>
      <c r="AD132" s="179"/>
      <c r="AE132" s="179"/>
      <c r="AF132" s="179"/>
      <c r="AG132" s="179"/>
      <c r="AH132" s="179"/>
      <c r="AI132" s="179"/>
      <c r="AJ132" s="179"/>
      <c r="AK132" s="191"/>
      <c r="AL132" s="191"/>
      <c r="AM132" s="191"/>
    </row>
    <row r="133" spans="1:39" hidden="1" x14ac:dyDescent="0.25">
      <c r="A133" s="274"/>
      <c r="B133" s="278"/>
      <c r="C133" s="274" t="s">
        <v>270</v>
      </c>
      <c r="D133" s="276">
        <v>0.61570000000000003</v>
      </c>
      <c r="E133" s="279">
        <f t="shared" si="53"/>
        <v>8.512652830686232E-2</v>
      </c>
      <c r="F133" s="276">
        <v>5</v>
      </c>
      <c r="G133" s="276">
        <f t="shared" si="63"/>
        <v>3.0785E-2</v>
      </c>
      <c r="H133" s="276">
        <f t="shared" si="64"/>
        <v>3.0785E-2</v>
      </c>
      <c r="I133" s="276">
        <f t="shared" si="56"/>
        <v>4.9999999999999996E-2</v>
      </c>
      <c r="J133" s="276">
        <v>1</v>
      </c>
      <c r="K133" s="296"/>
      <c r="L133" s="158"/>
    </row>
    <row r="134" spans="1:39" hidden="1" x14ac:dyDescent="0.25">
      <c r="A134" s="274"/>
      <c r="B134" s="278"/>
      <c r="C134" s="274" t="s">
        <v>226</v>
      </c>
      <c r="D134" s="276">
        <v>1.0629999999999999</v>
      </c>
      <c r="E134" s="279">
        <f t="shared" si="53"/>
        <v>0.14697011465030799</v>
      </c>
      <c r="F134" s="276">
        <v>5</v>
      </c>
      <c r="G134" s="276">
        <f t="shared" si="63"/>
        <v>5.3149999999999996E-2</v>
      </c>
      <c r="H134" s="276">
        <f t="shared" si="64"/>
        <v>5.3149999999999996E-2</v>
      </c>
      <c r="I134" s="276">
        <f t="shared" si="56"/>
        <v>4.9999999999999996E-2</v>
      </c>
      <c r="J134" s="276">
        <v>1</v>
      </c>
      <c r="K134" s="296"/>
      <c r="L134" s="158"/>
    </row>
    <row r="135" spans="1:39" hidden="1" x14ac:dyDescent="0.25">
      <c r="A135" s="274"/>
      <c r="B135" s="278"/>
      <c r="C135" s="274" t="s">
        <v>266</v>
      </c>
      <c r="D135" s="276">
        <v>3.0348000000000002</v>
      </c>
      <c r="E135" s="279">
        <f t="shared" si="53"/>
        <v>0.41959069044285496</v>
      </c>
      <c r="F135" s="276">
        <v>5</v>
      </c>
      <c r="G135" s="276">
        <f t="shared" si="63"/>
        <v>0.15174000000000001</v>
      </c>
      <c r="H135" s="276">
        <f t="shared" si="64"/>
        <v>0.15174000000000001</v>
      </c>
      <c r="I135" s="276">
        <f t="shared" si="56"/>
        <v>0.05</v>
      </c>
      <c r="J135" s="276">
        <v>1</v>
      </c>
      <c r="K135" s="296"/>
      <c r="L135" s="158"/>
    </row>
    <row r="136" spans="1:39" hidden="1" x14ac:dyDescent="0.25">
      <c r="A136" s="274"/>
      <c r="B136" s="278"/>
      <c r="C136" s="274" t="s">
        <v>268</v>
      </c>
      <c r="D136" s="276">
        <v>0.16400000000000001</v>
      </c>
      <c r="E136" s="279">
        <f t="shared" si="53"/>
        <v>2.2674599061759657E-2</v>
      </c>
      <c r="F136" s="276">
        <v>5</v>
      </c>
      <c r="G136" s="276">
        <f t="shared" ref="G136" si="65">+D136*F136/100</f>
        <v>8.2000000000000007E-3</v>
      </c>
      <c r="H136" s="276">
        <f t="shared" ref="H136" si="66">+G136*J136</f>
        <v>8.2000000000000007E-3</v>
      </c>
      <c r="I136" s="276">
        <f t="shared" si="56"/>
        <v>0.05</v>
      </c>
      <c r="J136" s="276">
        <v>1</v>
      </c>
      <c r="K136" s="296"/>
      <c r="L136" s="158"/>
    </row>
    <row r="137" spans="1:39" s="54" customFormat="1" x14ac:dyDescent="0.25">
      <c r="A137" s="269">
        <v>1.4</v>
      </c>
      <c r="B137" s="270" t="s">
        <v>118</v>
      </c>
      <c r="C137" s="269"/>
      <c r="D137" s="271">
        <f>+SUM(D138:D142)</f>
        <v>4.99</v>
      </c>
      <c r="E137" s="292">
        <f t="shared" si="53"/>
        <v>0.68991615437915044</v>
      </c>
      <c r="F137" s="271">
        <v>40</v>
      </c>
      <c r="G137" s="271">
        <f t="shared" si="63"/>
        <v>1.9960000000000002</v>
      </c>
      <c r="H137" s="271"/>
      <c r="I137" s="271"/>
      <c r="J137" s="271" t="s">
        <v>865</v>
      </c>
      <c r="K137" s="293"/>
      <c r="L137" s="180"/>
      <c r="M137" s="180"/>
      <c r="N137" s="178"/>
      <c r="O137" s="180"/>
      <c r="P137" s="180"/>
      <c r="Q137" s="180"/>
      <c r="R137" s="180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79"/>
      <c r="AE137" s="179"/>
      <c r="AF137" s="179"/>
      <c r="AG137" s="179"/>
      <c r="AH137" s="179"/>
      <c r="AI137" s="179"/>
      <c r="AJ137" s="179"/>
      <c r="AK137" s="191"/>
      <c r="AL137" s="191"/>
      <c r="AM137" s="191"/>
    </row>
    <row r="138" spans="1:39" s="54" customFormat="1" hidden="1" x14ac:dyDescent="0.25">
      <c r="A138" s="269"/>
      <c r="B138" s="278" t="s">
        <v>93</v>
      </c>
      <c r="C138" s="274" t="s">
        <v>306</v>
      </c>
      <c r="D138" s="276">
        <v>1.19</v>
      </c>
      <c r="E138" s="279">
        <f t="shared" si="53"/>
        <v>0.16452910294813408</v>
      </c>
      <c r="F138" s="276">
        <v>40</v>
      </c>
      <c r="G138" s="276">
        <f t="shared" ref="G138:G142" si="67">+D138*F138/100</f>
        <v>0.47599999999999992</v>
      </c>
      <c r="H138" s="276">
        <f t="shared" ref="H138:H142" si="68">+G138*J138</f>
        <v>1.9039999999999997</v>
      </c>
      <c r="I138" s="276">
        <f t="shared" si="56"/>
        <v>1.5999999999999999</v>
      </c>
      <c r="J138" s="276">
        <v>4</v>
      </c>
      <c r="K138" s="293"/>
      <c r="L138" s="180"/>
      <c r="M138" s="180"/>
      <c r="N138" s="178"/>
      <c r="O138" s="180"/>
      <c r="P138" s="180"/>
      <c r="Q138" s="180"/>
      <c r="R138" s="180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91"/>
      <c r="AL138" s="191"/>
      <c r="AM138" s="191"/>
    </row>
    <row r="139" spans="1:39" s="54" customFormat="1" hidden="1" x14ac:dyDescent="0.25">
      <c r="A139" s="269"/>
      <c r="B139" s="278"/>
      <c r="C139" s="274" t="s">
        <v>164</v>
      </c>
      <c r="D139" s="276">
        <v>7.0000000000000007E-2</v>
      </c>
      <c r="E139" s="279">
        <f t="shared" si="53"/>
        <v>9.6781825263608304E-3</v>
      </c>
      <c r="F139" s="276">
        <v>40</v>
      </c>
      <c r="G139" s="276">
        <f t="shared" si="67"/>
        <v>2.8000000000000004E-2</v>
      </c>
      <c r="H139" s="276">
        <f t="shared" si="68"/>
        <v>8.4000000000000019E-2</v>
      </c>
      <c r="I139" s="276">
        <f t="shared" si="56"/>
        <v>1.2000000000000002</v>
      </c>
      <c r="J139" s="276">
        <v>3</v>
      </c>
      <c r="K139" s="293"/>
      <c r="L139" s="180"/>
      <c r="M139" s="180"/>
      <c r="N139" s="178"/>
      <c r="O139" s="180"/>
      <c r="P139" s="180"/>
      <c r="Q139" s="180"/>
      <c r="R139" s="180"/>
      <c r="S139" s="179"/>
      <c r="T139" s="179"/>
      <c r="U139" s="179"/>
      <c r="V139" s="179"/>
      <c r="W139" s="179"/>
      <c r="X139" s="179"/>
      <c r="Y139" s="179"/>
      <c r="Z139" s="179"/>
      <c r="AA139" s="179"/>
      <c r="AB139" s="179"/>
      <c r="AC139" s="179"/>
      <c r="AD139" s="179"/>
      <c r="AE139" s="179"/>
      <c r="AF139" s="179"/>
      <c r="AG139" s="179"/>
      <c r="AH139" s="179"/>
      <c r="AI139" s="179"/>
      <c r="AJ139" s="179"/>
      <c r="AK139" s="191"/>
      <c r="AL139" s="191"/>
      <c r="AM139" s="191"/>
    </row>
    <row r="140" spans="1:39" s="54" customFormat="1" hidden="1" x14ac:dyDescent="0.25">
      <c r="A140" s="269"/>
      <c r="B140" s="278"/>
      <c r="C140" s="274" t="s">
        <v>304</v>
      </c>
      <c r="D140" s="276">
        <v>0.6</v>
      </c>
      <c r="E140" s="279">
        <f t="shared" si="53"/>
        <v>8.2955850225949965E-2</v>
      </c>
      <c r="F140" s="276">
        <v>40</v>
      </c>
      <c r="G140" s="276">
        <f t="shared" si="67"/>
        <v>0.24</v>
      </c>
      <c r="H140" s="276">
        <f t="shared" si="68"/>
        <v>0.72</v>
      </c>
      <c r="I140" s="276">
        <f t="shared" si="56"/>
        <v>1.2</v>
      </c>
      <c r="J140" s="276">
        <v>3</v>
      </c>
      <c r="K140" s="293"/>
      <c r="L140" s="180"/>
      <c r="M140" s="180"/>
      <c r="N140" s="178"/>
      <c r="O140" s="180"/>
      <c r="P140" s="180"/>
      <c r="Q140" s="180"/>
      <c r="R140" s="180"/>
      <c r="S140" s="179"/>
      <c r="T140" s="179"/>
      <c r="U140" s="179"/>
      <c r="V140" s="179"/>
      <c r="W140" s="179"/>
      <c r="X140" s="179"/>
      <c r="Y140" s="179"/>
      <c r="Z140" s="179"/>
      <c r="AA140" s="179"/>
      <c r="AB140" s="179"/>
      <c r="AC140" s="179"/>
      <c r="AD140" s="179"/>
      <c r="AE140" s="179"/>
      <c r="AF140" s="179"/>
      <c r="AG140" s="179"/>
      <c r="AH140" s="179"/>
      <c r="AI140" s="179"/>
      <c r="AJ140" s="179"/>
      <c r="AK140" s="191"/>
      <c r="AL140" s="191"/>
      <c r="AM140" s="191"/>
    </row>
    <row r="141" spans="1:39" s="54" customFormat="1" hidden="1" x14ac:dyDescent="0.25">
      <c r="A141" s="269"/>
      <c r="B141" s="278"/>
      <c r="C141" s="274" t="s">
        <v>302</v>
      </c>
      <c r="D141" s="276">
        <v>0.21</v>
      </c>
      <c r="E141" s="279">
        <f t="shared" si="53"/>
        <v>2.9034547579082484E-2</v>
      </c>
      <c r="F141" s="276">
        <v>40</v>
      </c>
      <c r="G141" s="276">
        <f t="shared" si="67"/>
        <v>8.4000000000000005E-2</v>
      </c>
      <c r="H141" s="276">
        <f t="shared" si="68"/>
        <v>0.252</v>
      </c>
      <c r="I141" s="276">
        <f t="shared" si="56"/>
        <v>1.2</v>
      </c>
      <c r="J141" s="276">
        <v>3</v>
      </c>
      <c r="K141" s="293"/>
      <c r="L141" s="180"/>
      <c r="M141" s="180"/>
      <c r="N141" s="178"/>
      <c r="O141" s="180"/>
      <c r="P141" s="180"/>
      <c r="Q141" s="180"/>
      <c r="R141" s="180"/>
      <c r="S141" s="179"/>
      <c r="T141" s="179"/>
      <c r="U141" s="179"/>
      <c r="V141" s="179"/>
      <c r="W141" s="179"/>
      <c r="X141" s="179"/>
      <c r="Y141" s="179"/>
      <c r="Z141" s="179"/>
      <c r="AA141" s="179"/>
      <c r="AB141" s="179"/>
      <c r="AC141" s="179"/>
      <c r="AD141" s="179"/>
      <c r="AE141" s="179"/>
      <c r="AF141" s="179"/>
      <c r="AG141" s="179"/>
      <c r="AH141" s="179"/>
      <c r="AI141" s="179"/>
      <c r="AJ141" s="179"/>
      <c r="AK141" s="191"/>
      <c r="AL141" s="191"/>
      <c r="AM141" s="191"/>
    </row>
    <row r="142" spans="1:39" s="54" customFormat="1" hidden="1" x14ac:dyDescent="0.25">
      <c r="A142" s="269"/>
      <c r="B142" s="278"/>
      <c r="C142" s="274" t="s">
        <v>300</v>
      </c>
      <c r="D142" s="276">
        <v>2.92</v>
      </c>
      <c r="E142" s="279">
        <f t="shared" si="53"/>
        <v>0.40371847109962317</v>
      </c>
      <c r="F142" s="276">
        <v>40</v>
      </c>
      <c r="G142" s="276">
        <f t="shared" si="67"/>
        <v>1.1679999999999999</v>
      </c>
      <c r="H142" s="276">
        <f t="shared" si="68"/>
        <v>4.6719999999999997</v>
      </c>
      <c r="I142" s="276">
        <f t="shared" si="56"/>
        <v>1.5999999999999999</v>
      </c>
      <c r="J142" s="276">
        <v>4</v>
      </c>
      <c r="K142" s="293"/>
      <c r="L142" s="180"/>
      <c r="M142" s="180"/>
      <c r="N142" s="178"/>
      <c r="O142" s="180"/>
      <c r="P142" s="180"/>
      <c r="Q142" s="180"/>
      <c r="R142" s="180"/>
      <c r="S142" s="179"/>
      <c r="T142" s="179"/>
      <c r="U142" s="179"/>
      <c r="V142" s="179"/>
      <c r="W142" s="179"/>
      <c r="X142" s="179"/>
      <c r="Y142" s="179"/>
      <c r="Z142" s="179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91"/>
      <c r="AL142" s="191"/>
      <c r="AM142" s="191"/>
    </row>
    <row r="143" spans="1:39" s="54" customFormat="1" x14ac:dyDescent="0.25">
      <c r="A143" s="269">
        <v>1.5</v>
      </c>
      <c r="B143" s="270" t="s">
        <v>91</v>
      </c>
      <c r="C143" s="269"/>
      <c r="D143" s="271">
        <f>+SUM(D144:D146)</f>
        <v>0.78</v>
      </c>
      <c r="E143" s="292">
        <f t="shared" si="53"/>
        <v>0.10784260529373496</v>
      </c>
      <c r="F143" s="271">
        <v>40</v>
      </c>
      <c r="G143" s="271">
        <f>+D143*F143/100</f>
        <v>0.31200000000000006</v>
      </c>
      <c r="H143" s="271">
        <f t="shared" ref="H143" si="69">+G143*J143</f>
        <v>0.93600000000000017</v>
      </c>
      <c r="I143" s="276">
        <f t="shared" si="56"/>
        <v>1.2000000000000002</v>
      </c>
      <c r="J143" s="271">
        <v>3</v>
      </c>
      <c r="K143" s="293"/>
      <c r="L143" s="180"/>
      <c r="M143" s="180"/>
      <c r="N143" s="178"/>
      <c r="O143" s="180"/>
      <c r="P143" s="180"/>
      <c r="Q143" s="180"/>
      <c r="R143" s="180"/>
      <c r="S143" s="179"/>
      <c r="T143" s="179"/>
      <c r="U143" s="179"/>
      <c r="V143" s="179"/>
      <c r="W143" s="179"/>
      <c r="X143" s="179"/>
      <c r="Y143" s="179"/>
      <c r="Z143" s="179"/>
      <c r="AA143" s="179"/>
      <c r="AB143" s="179"/>
      <c r="AC143" s="179"/>
      <c r="AD143" s="179"/>
      <c r="AE143" s="179"/>
      <c r="AF143" s="179"/>
      <c r="AG143" s="179"/>
      <c r="AH143" s="179"/>
      <c r="AI143" s="179"/>
      <c r="AJ143" s="179"/>
      <c r="AK143" s="191"/>
      <c r="AL143" s="191"/>
      <c r="AM143" s="191"/>
    </row>
    <row r="144" spans="1:39" hidden="1" x14ac:dyDescent="0.25">
      <c r="A144" s="274"/>
      <c r="B144" s="278"/>
      <c r="C144" s="274" t="s">
        <v>638</v>
      </c>
      <c r="D144" s="276">
        <v>0.69</v>
      </c>
      <c r="E144" s="279">
        <f t="shared" ref="E144:E146" si="70">+D144/$D$3*100</f>
        <v>9.5399227759842442E-2</v>
      </c>
      <c r="F144" s="276">
        <v>40</v>
      </c>
      <c r="G144" s="276">
        <f t="shared" ref="G144:G146" si="71">+D144*F144/100</f>
        <v>0.27599999999999997</v>
      </c>
      <c r="H144" s="276">
        <f t="shared" ref="H144:H146" si="72">+G144*J144</f>
        <v>0.82799999999999985</v>
      </c>
      <c r="I144" s="276">
        <f t="shared" si="56"/>
        <v>1.2</v>
      </c>
      <c r="J144" s="276">
        <v>3</v>
      </c>
      <c r="K144" s="296"/>
      <c r="L144" s="158"/>
    </row>
    <row r="145" spans="1:39" hidden="1" x14ac:dyDescent="0.25">
      <c r="A145" s="274"/>
      <c r="B145" s="278"/>
      <c r="C145" s="274" t="s">
        <v>742</v>
      </c>
      <c r="D145" s="276">
        <v>0.03</v>
      </c>
      <c r="E145" s="279">
        <f t="shared" si="70"/>
        <v>4.1477925112974974E-3</v>
      </c>
      <c r="F145" s="276">
        <v>40</v>
      </c>
      <c r="G145" s="276">
        <f t="shared" si="71"/>
        <v>1.2E-2</v>
      </c>
      <c r="H145" s="276">
        <f t="shared" si="72"/>
        <v>3.6000000000000004E-2</v>
      </c>
      <c r="I145" s="276">
        <f t="shared" si="56"/>
        <v>1.2000000000000002</v>
      </c>
      <c r="J145" s="276">
        <v>3</v>
      </c>
      <c r="K145" s="296"/>
      <c r="L145" s="158"/>
    </row>
    <row r="146" spans="1:39" hidden="1" x14ac:dyDescent="0.25">
      <c r="A146" s="274"/>
      <c r="B146" s="278"/>
      <c r="C146" s="274" t="s">
        <v>743</v>
      </c>
      <c r="D146" s="276">
        <v>0.06</v>
      </c>
      <c r="E146" s="279">
        <f t="shared" si="70"/>
        <v>8.2955850225949947E-3</v>
      </c>
      <c r="F146" s="276">
        <v>40</v>
      </c>
      <c r="G146" s="276">
        <f t="shared" si="71"/>
        <v>2.4E-2</v>
      </c>
      <c r="H146" s="276">
        <f t="shared" si="72"/>
        <v>7.2000000000000008E-2</v>
      </c>
      <c r="I146" s="276">
        <f t="shared" si="56"/>
        <v>1.2000000000000002</v>
      </c>
      <c r="J146" s="276">
        <v>3</v>
      </c>
      <c r="K146" s="296"/>
      <c r="L146" s="158"/>
    </row>
    <row r="147" spans="1:39" s="56" customFormat="1" x14ac:dyDescent="0.2">
      <c r="A147" s="261">
        <v>2</v>
      </c>
      <c r="B147" s="266" t="s">
        <v>616</v>
      </c>
      <c r="C147" s="261"/>
      <c r="D147" s="267">
        <f>+SUM(D148:D148)</f>
        <v>1.55</v>
      </c>
      <c r="E147" s="265">
        <f t="shared" si="53"/>
        <v>0.21430261308370405</v>
      </c>
      <c r="F147" s="267">
        <f>+F148</f>
        <v>40</v>
      </c>
      <c r="G147" s="267">
        <f>+SUM(G148:G148)</f>
        <v>0.62</v>
      </c>
      <c r="H147" s="267">
        <f>+SUM(H148:H148)</f>
        <v>2.48</v>
      </c>
      <c r="I147" s="267">
        <f t="shared" si="56"/>
        <v>1.5999999999999999</v>
      </c>
      <c r="J147" s="267">
        <v>4</v>
      </c>
      <c r="K147" s="291"/>
      <c r="L147" s="176"/>
      <c r="M147" s="176"/>
      <c r="N147" s="174"/>
      <c r="O147" s="176"/>
      <c r="P147" s="176"/>
      <c r="Q147" s="176"/>
      <c r="R147" s="176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5"/>
      <c r="AE147" s="175"/>
      <c r="AF147" s="175"/>
      <c r="AG147" s="175"/>
      <c r="AH147" s="175"/>
      <c r="AI147" s="175"/>
      <c r="AJ147" s="175"/>
      <c r="AK147" s="190"/>
      <c r="AL147" s="190"/>
      <c r="AM147" s="190"/>
    </row>
    <row r="148" spans="1:39" hidden="1" x14ac:dyDescent="0.25">
      <c r="A148" s="274"/>
      <c r="B148" s="278" t="s">
        <v>39</v>
      </c>
      <c r="C148" s="274" t="s">
        <v>74</v>
      </c>
      <c r="D148" s="276">
        <v>1.55</v>
      </c>
      <c r="E148" s="279">
        <f t="shared" si="53"/>
        <v>0.21430261308370405</v>
      </c>
      <c r="F148" s="276">
        <v>40</v>
      </c>
      <c r="G148" s="276">
        <f>+D148*F148/100</f>
        <v>0.62</v>
      </c>
      <c r="H148" s="276">
        <f>+G148*J148</f>
        <v>2.48</v>
      </c>
      <c r="I148" s="276">
        <f t="shared" si="56"/>
        <v>1.5999999999999999</v>
      </c>
      <c r="J148" s="276">
        <v>4</v>
      </c>
      <c r="K148" s="296"/>
      <c r="L148" s="158"/>
    </row>
    <row r="149" spans="1:39" s="56" customFormat="1" x14ac:dyDescent="0.2">
      <c r="A149" s="261">
        <v>3</v>
      </c>
      <c r="B149" s="266" t="s">
        <v>596</v>
      </c>
      <c r="C149" s="261"/>
      <c r="D149" s="267">
        <f>+SUM(D150:D153)</f>
        <v>2.75</v>
      </c>
      <c r="E149" s="265">
        <f t="shared" si="53"/>
        <v>0.38021431353560398</v>
      </c>
      <c r="F149" s="267">
        <f>+F173</f>
        <v>40</v>
      </c>
      <c r="G149" s="267">
        <f t="shared" ref="G149:G152" si="73">+D149*F149/100</f>
        <v>1.1000000000000001</v>
      </c>
      <c r="H149" s="267">
        <f t="shared" ref="H149:H152" si="74">+G149*J149</f>
        <v>1.1000000000000001</v>
      </c>
      <c r="I149" s="267">
        <f t="shared" si="56"/>
        <v>0.4</v>
      </c>
      <c r="J149" s="267">
        <v>1</v>
      </c>
      <c r="K149" s="291"/>
      <c r="L149" s="176"/>
      <c r="M149" s="176"/>
      <c r="N149" s="174"/>
      <c r="O149" s="176"/>
      <c r="P149" s="176"/>
      <c r="Q149" s="176"/>
      <c r="R149" s="176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90"/>
      <c r="AL149" s="190"/>
      <c r="AM149" s="190"/>
    </row>
    <row r="150" spans="1:39" hidden="1" x14ac:dyDescent="0.25">
      <c r="A150" s="274"/>
      <c r="B150" s="278"/>
      <c r="C150" s="274" t="s">
        <v>609</v>
      </c>
      <c r="D150" s="276">
        <v>0.9</v>
      </c>
      <c r="E150" s="279">
        <f t="shared" ref="E150:E218" si="75">+D150/$D$3*100</f>
        <v>0.12443377533892495</v>
      </c>
      <c r="F150" s="276">
        <v>5</v>
      </c>
      <c r="G150" s="276">
        <f t="shared" si="73"/>
        <v>4.4999999999999998E-2</v>
      </c>
      <c r="H150" s="276">
        <f t="shared" si="74"/>
        <v>4.4999999999999998E-2</v>
      </c>
      <c r="I150" s="276">
        <f t="shared" si="56"/>
        <v>4.9999999999999996E-2</v>
      </c>
      <c r="J150" s="276">
        <v>1</v>
      </c>
      <c r="K150" s="296"/>
      <c r="L150" s="158"/>
    </row>
    <row r="151" spans="1:39" hidden="1" x14ac:dyDescent="0.25">
      <c r="A151" s="274"/>
      <c r="B151" s="278"/>
      <c r="C151" s="274" t="s">
        <v>610</v>
      </c>
      <c r="D151" s="276">
        <v>1.31</v>
      </c>
      <c r="E151" s="279">
        <f t="shared" si="75"/>
        <v>0.18112027299332409</v>
      </c>
      <c r="F151" s="276">
        <v>5</v>
      </c>
      <c r="G151" s="276">
        <f t="shared" si="73"/>
        <v>6.5500000000000003E-2</v>
      </c>
      <c r="H151" s="276">
        <f t="shared" si="74"/>
        <v>6.5500000000000003E-2</v>
      </c>
      <c r="I151" s="276">
        <f t="shared" si="56"/>
        <v>0.05</v>
      </c>
      <c r="J151" s="276">
        <v>1</v>
      </c>
      <c r="K151" s="296"/>
      <c r="L151" s="158"/>
    </row>
    <row r="152" spans="1:39" hidden="1" x14ac:dyDescent="0.25">
      <c r="A152" s="274"/>
      <c r="B152" s="278"/>
      <c r="C152" s="274" t="s">
        <v>611</v>
      </c>
      <c r="D152" s="276">
        <v>0.44</v>
      </c>
      <c r="E152" s="279">
        <f t="shared" si="75"/>
        <v>6.0834290165696643E-2</v>
      </c>
      <c r="F152" s="276">
        <v>5</v>
      </c>
      <c r="G152" s="276">
        <f t="shared" si="73"/>
        <v>2.2000000000000002E-2</v>
      </c>
      <c r="H152" s="276">
        <f t="shared" si="74"/>
        <v>2.2000000000000002E-2</v>
      </c>
      <c r="I152" s="276">
        <f t="shared" si="56"/>
        <v>0.05</v>
      </c>
      <c r="J152" s="276">
        <v>1</v>
      </c>
      <c r="K152" s="296"/>
      <c r="L152" s="158"/>
    </row>
    <row r="153" spans="1:39" hidden="1" x14ac:dyDescent="0.25">
      <c r="A153" s="274"/>
      <c r="B153" s="278"/>
      <c r="C153" s="274" t="s">
        <v>612</v>
      </c>
      <c r="D153" s="276">
        <v>0.1</v>
      </c>
      <c r="E153" s="279">
        <f t="shared" si="75"/>
        <v>1.3825975037658327E-2</v>
      </c>
      <c r="F153" s="276">
        <v>5</v>
      </c>
      <c r="G153" s="276">
        <f t="shared" ref="G153" si="76">+D153*F153/100</f>
        <v>5.0000000000000001E-3</v>
      </c>
      <c r="H153" s="276">
        <f t="shared" ref="H153" si="77">+G153*J153</f>
        <v>5.0000000000000001E-3</v>
      </c>
      <c r="I153" s="276">
        <f t="shared" si="56"/>
        <v>4.9999999999999996E-2</v>
      </c>
      <c r="J153" s="276">
        <v>1</v>
      </c>
      <c r="K153" s="296"/>
      <c r="L153" s="158"/>
    </row>
    <row r="154" spans="1:39" s="56" customFormat="1" x14ac:dyDescent="0.2">
      <c r="A154" s="261">
        <v>4</v>
      </c>
      <c r="B154" s="266" t="s">
        <v>618</v>
      </c>
      <c r="C154" s="261"/>
      <c r="D154" s="267">
        <f>+SUM(D155:D157)</f>
        <v>0.91079999999999994</v>
      </c>
      <c r="E154" s="265">
        <f t="shared" si="75"/>
        <v>0.12592698064299204</v>
      </c>
      <c r="F154" s="267">
        <v>40</v>
      </c>
      <c r="G154" s="267">
        <f>+D154*F154/100</f>
        <v>0.36431999999999998</v>
      </c>
      <c r="H154" s="267">
        <f>+G154*J154</f>
        <v>1.8215999999999999</v>
      </c>
      <c r="I154" s="267">
        <f t="shared" si="56"/>
        <v>2</v>
      </c>
      <c r="J154" s="267">
        <f>+J155</f>
        <v>5</v>
      </c>
      <c r="K154" s="291"/>
      <c r="L154" s="176"/>
      <c r="M154" s="176"/>
      <c r="N154" s="174"/>
      <c r="O154" s="176"/>
      <c r="P154" s="176"/>
      <c r="Q154" s="176"/>
      <c r="R154" s="176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90"/>
      <c r="AL154" s="190"/>
      <c r="AM154" s="190"/>
    </row>
    <row r="155" spans="1:39" hidden="1" x14ac:dyDescent="0.25">
      <c r="A155" s="274"/>
      <c r="B155" s="278"/>
      <c r="C155" s="274" t="s">
        <v>392</v>
      </c>
      <c r="D155" s="276">
        <v>0.15459999999999999</v>
      </c>
      <c r="E155" s="279">
        <f t="shared" si="75"/>
        <v>2.137495740821977E-2</v>
      </c>
      <c r="F155" s="276">
        <v>40</v>
      </c>
      <c r="G155" s="276">
        <f>+D155*F155/100</f>
        <v>6.1839999999999992E-2</v>
      </c>
      <c r="H155" s="276">
        <f>+G155*J155</f>
        <v>0.30919999999999997</v>
      </c>
      <c r="I155" s="276">
        <f t="shared" si="56"/>
        <v>2</v>
      </c>
      <c r="J155" s="276">
        <v>5</v>
      </c>
      <c r="K155" s="296"/>
      <c r="L155" s="158"/>
    </row>
    <row r="156" spans="1:39" hidden="1" x14ac:dyDescent="0.25">
      <c r="A156" s="274"/>
      <c r="B156" s="278"/>
      <c r="C156" s="274" t="s">
        <v>390</v>
      </c>
      <c r="D156" s="276">
        <v>0.70099999999999996</v>
      </c>
      <c r="E156" s="279">
        <f t="shared" si="75"/>
        <v>9.6920085013984858E-2</v>
      </c>
      <c r="F156" s="276">
        <v>40</v>
      </c>
      <c r="G156" s="276">
        <f>+D156*F156/100</f>
        <v>0.28039999999999998</v>
      </c>
      <c r="H156" s="276">
        <f>+G156*J156</f>
        <v>1.4019999999999999</v>
      </c>
      <c r="I156" s="276">
        <f t="shared" si="56"/>
        <v>2</v>
      </c>
      <c r="J156" s="276">
        <v>5</v>
      </c>
      <c r="K156" s="296"/>
      <c r="L156" s="158"/>
    </row>
    <row r="157" spans="1:39" hidden="1" x14ac:dyDescent="0.25">
      <c r="A157" s="274"/>
      <c r="B157" s="278"/>
      <c r="C157" s="274" t="s">
        <v>256</v>
      </c>
      <c r="D157" s="276">
        <v>5.5199999999999999E-2</v>
      </c>
      <c r="E157" s="279">
        <f t="shared" si="75"/>
        <v>7.6319382207873966E-3</v>
      </c>
      <c r="F157" s="276">
        <v>40</v>
      </c>
      <c r="G157" s="276">
        <f>+D157*F157/100</f>
        <v>2.2080000000000002E-2</v>
      </c>
      <c r="H157" s="276">
        <f>+G157*J157</f>
        <v>0.11040000000000001</v>
      </c>
      <c r="I157" s="276">
        <f t="shared" si="56"/>
        <v>2.0000000000000004</v>
      </c>
      <c r="J157" s="276">
        <v>5</v>
      </c>
      <c r="K157" s="296"/>
      <c r="L157" s="158"/>
    </row>
    <row r="158" spans="1:39" s="91" customFormat="1" ht="20.25" customHeight="1" x14ac:dyDescent="0.2">
      <c r="A158" s="263" t="s">
        <v>607</v>
      </c>
      <c r="B158" s="264" t="s">
        <v>595</v>
      </c>
      <c r="C158" s="263"/>
      <c r="D158" s="265">
        <f>+D159+D162+D165+D171+D172+D175</f>
        <v>29.316899999999997</v>
      </c>
      <c r="E158" s="265">
        <f t="shared" si="75"/>
        <v>4.0533472758152538</v>
      </c>
      <c r="F158" s="265">
        <f>+G158*100/D158</f>
        <v>34.651821986635696</v>
      </c>
      <c r="G158" s="265">
        <f>+G159+G162+G165+G171+G172</f>
        <v>10.15884</v>
      </c>
      <c r="H158" s="265"/>
      <c r="I158" s="265"/>
      <c r="J158" s="265"/>
      <c r="K158" s="290"/>
      <c r="L158" s="170"/>
      <c r="M158" s="170"/>
      <c r="N158" s="171"/>
      <c r="O158" s="170"/>
      <c r="P158" s="170"/>
      <c r="Q158" s="170"/>
      <c r="R158" s="170"/>
      <c r="S158" s="170"/>
      <c r="T158" s="170"/>
      <c r="U158" s="170"/>
      <c r="V158" s="170"/>
      <c r="W158" s="170"/>
      <c r="X158" s="170"/>
      <c r="Y158" s="170"/>
      <c r="Z158" s="170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2"/>
      <c r="AL158" s="173"/>
      <c r="AM158" s="173"/>
    </row>
    <row r="159" spans="1:39" s="56" customFormat="1" x14ac:dyDescent="0.2">
      <c r="A159" s="261">
        <v>1</v>
      </c>
      <c r="B159" s="266" t="s">
        <v>92</v>
      </c>
      <c r="C159" s="261"/>
      <c r="D159" s="267">
        <f>+D160+D161</f>
        <v>1.54</v>
      </c>
      <c r="E159" s="265">
        <f t="shared" si="75"/>
        <v>0.21292001557993825</v>
      </c>
      <c r="F159" s="267">
        <f>+F160</f>
        <v>5</v>
      </c>
      <c r="G159" s="267">
        <f t="shared" ref="G159:G166" si="78">+D159*F159/100</f>
        <v>7.6999999999999999E-2</v>
      </c>
      <c r="H159" s="267">
        <f t="shared" ref="H159:H166" si="79">+G159*J159</f>
        <v>7.6999999999999999E-2</v>
      </c>
      <c r="I159" s="267">
        <f>+H159/D159</f>
        <v>4.9999999999999996E-2</v>
      </c>
      <c r="J159" s="267">
        <f>+J160</f>
        <v>1</v>
      </c>
      <c r="K159" s="291"/>
      <c r="L159" s="176"/>
      <c r="M159" s="176"/>
      <c r="N159" s="174"/>
      <c r="O159" s="176"/>
      <c r="P159" s="176"/>
      <c r="Q159" s="176"/>
      <c r="R159" s="176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90"/>
      <c r="AL159" s="190"/>
      <c r="AM159" s="190"/>
    </row>
    <row r="160" spans="1:39" hidden="1" x14ac:dyDescent="0.25">
      <c r="A160" s="274"/>
      <c r="B160" s="278"/>
      <c r="C160" s="274" t="s">
        <v>252</v>
      </c>
      <c r="D160" s="276">
        <v>1.04</v>
      </c>
      <c r="E160" s="279">
        <f t="shared" si="75"/>
        <v>0.14379014039164659</v>
      </c>
      <c r="F160" s="276">
        <v>5</v>
      </c>
      <c r="G160" s="276">
        <f t="shared" si="78"/>
        <v>5.2000000000000005E-2</v>
      </c>
      <c r="H160" s="276">
        <f t="shared" si="79"/>
        <v>5.2000000000000005E-2</v>
      </c>
      <c r="I160" s="276">
        <f>+H160/D160</f>
        <v>0.05</v>
      </c>
      <c r="J160" s="276">
        <v>1</v>
      </c>
      <c r="K160" s="296"/>
      <c r="L160" s="158"/>
    </row>
    <row r="161" spans="1:39" hidden="1" x14ac:dyDescent="0.25">
      <c r="A161" s="274"/>
      <c r="B161" s="278"/>
      <c r="C161" s="274" t="s">
        <v>250</v>
      </c>
      <c r="D161" s="276">
        <v>0.5</v>
      </c>
      <c r="E161" s="279">
        <f t="shared" si="75"/>
        <v>6.9129875188291626E-2</v>
      </c>
      <c r="F161" s="276">
        <v>5</v>
      </c>
      <c r="G161" s="276">
        <f t="shared" si="78"/>
        <v>2.5000000000000001E-2</v>
      </c>
      <c r="H161" s="276">
        <f t="shared" si="79"/>
        <v>2.5000000000000001E-2</v>
      </c>
      <c r="I161" s="276">
        <f>+H161/D161</f>
        <v>0.05</v>
      </c>
      <c r="J161" s="276">
        <v>1</v>
      </c>
      <c r="K161" s="296"/>
      <c r="L161" s="158"/>
    </row>
    <row r="162" spans="1:39" s="56" customFormat="1" ht="16.5" customHeight="1" x14ac:dyDescent="0.2">
      <c r="A162" s="261">
        <v>2</v>
      </c>
      <c r="B162" s="266" t="s">
        <v>96</v>
      </c>
      <c r="C162" s="261"/>
      <c r="D162" s="267">
        <f>+D163+D164</f>
        <v>7.2685999999999993</v>
      </c>
      <c r="E162" s="265">
        <f t="shared" si="75"/>
        <v>1.004954821587233</v>
      </c>
      <c r="F162" s="267">
        <f>+F163</f>
        <v>60</v>
      </c>
      <c r="G162" s="267">
        <f t="shared" si="78"/>
        <v>4.3611599999999999</v>
      </c>
      <c r="H162" s="267">
        <f t="shared" si="79"/>
        <v>13.08348</v>
      </c>
      <c r="I162" s="267">
        <f t="shared" ref="I162:I174" si="80">+H162/D162</f>
        <v>1.8</v>
      </c>
      <c r="J162" s="267">
        <f>+J163</f>
        <v>3</v>
      </c>
      <c r="K162" s="291"/>
      <c r="L162" s="176"/>
      <c r="M162" s="176"/>
      <c r="N162" s="174"/>
      <c r="O162" s="176"/>
      <c r="P162" s="176"/>
      <c r="Q162" s="176"/>
      <c r="R162" s="176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90"/>
      <c r="AL162" s="190"/>
      <c r="AM162" s="190"/>
    </row>
    <row r="163" spans="1:39" hidden="1" x14ac:dyDescent="0.25">
      <c r="A163" s="274"/>
      <c r="B163" s="278"/>
      <c r="C163" s="274" t="s">
        <v>362</v>
      </c>
      <c r="D163" s="276">
        <v>4.68</v>
      </c>
      <c r="E163" s="279">
        <f t="shared" si="75"/>
        <v>0.64705563176240966</v>
      </c>
      <c r="F163" s="276">
        <v>60</v>
      </c>
      <c r="G163" s="276">
        <f t="shared" si="78"/>
        <v>2.8079999999999994</v>
      </c>
      <c r="H163" s="276">
        <f t="shared" si="79"/>
        <v>8.4239999999999977</v>
      </c>
      <c r="I163" s="276">
        <f t="shared" si="80"/>
        <v>1.7999999999999996</v>
      </c>
      <c r="J163" s="276">
        <v>3</v>
      </c>
      <c r="K163" s="296"/>
      <c r="L163" s="158"/>
    </row>
    <row r="164" spans="1:39" hidden="1" x14ac:dyDescent="0.25">
      <c r="A164" s="274"/>
      <c r="B164" s="278"/>
      <c r="C164" s="274" t="s">
        <v>360</v>
      </c>
      <c r="D164" s="276">
        <v>2.5886</v>
      </c>
      <c r="E164" s="279">
        <f t="shared" si="75"/>
        <v>0.35789918982482344</v>
      </c>
      <c r="F164" s="276">
        <v>60</v>
      </c>
      <c r="G164" s="276">
        <f t="shared" si="78"/>
        <v>1.5531600000000001</v>
      </c>
      <c r="H164" s="276">
        <f t="shared" si="79"/>
        <v>4.6594800000000003</v>
      </c>
      <c r="I164" s="276">
        <f t="shared" si="80"/>
        <v>1.8</v>
      </c>
      <c r="J164" s="276">
        <v>3</v>
      </c>
      <c r="K164" s="296"/>
      <c r="L164" s="158"/>
    </row>
    <row r="165" spans="1:39" s="56" customFormat="1" x14ac:dyDescent="0.2">
      <c r="A165" s="261">
        <v>3</v>
      </c>
      <c r="B165" s="266" t="s">
        <v>99</v>
      </c>
      <c r="C165" s="261"/>
      <c r="D165" s="267">
        <f>SUM(D166:D170)</f>
        <v>8.0500000000000007</v>
      </c>
      <c r="E165" s="265">
        <f t="shared" si="75"/>
        <v>1.1129909905314954</v>
      </c>
      <c r="F165" s="267">
        <f>+G165/D165*100</f>
        <v>48.596273291925463</v>
      </c>
      <c r="G165" s="267">
        <f>SUM(G166:G170)</f>
        <v>3.9119999999999999</v>
      </c>
      <c r="H165" s="267"/>
      <c r="I165" s="267"/>
      <c r="J165" s="267" t="s">
        <v>861</v>
      </c>
      <c r="K165" s="291"/>
      <c r="L165" s="176"/>
      <c r="M165" s="176"/>
      <c r="N165" s="174"/>
      <c r="O165" s="176"/>
      <c r="P165" s="176"/>
      <c r="Q165" s="176"/>
      <c r="R165" s="176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90"/>
      <c r="AL165" s="190"/>
      <c r="AM165" s="190"/>
    </row>
    <row r="166" spans="1:39" hidden="1" x14ac:dyDescent="0.25">
      <c r="A166" s="274"/>
      <c r="B166" s="278"/>
      <c r="C166" s="274" t="s">
        <v>613</v>
      </c>
      <c r="D166" s="276">
        <v>3.45</v>
      </c>
      <c r="E166" s="279">
        <f t="shared" si="75"/>
        <v>0.47699613879921232</v>
      </c>
      <c r="F166" s="276">
        <v>50</v>
      </c>
      <c r="G166" s="276">
        <f t="shared" si="78"/>
        <v>1.7250000000000001</v>
      </c>
      <c r="H166" s="276">
        <f t="shared" si="79"/>
        <v>17.25</v>
      </c>
      <c r="I166" s="276">
        <f t="shared" si="80"/>
        <v>5</v>
      </c>
      <c r="J166" s="276">
        <v>10</v>
      </c>
      <c r="K166" s="296"/>
      <c r="L166" s="158"/>
    </row>
    <row r="167" spans="1:39" hidden="1" x14ac:dyDescent="0.25">
      <c r="A167" s="274"/>
      <c r="B167" s="278"/>
      <c r="C167" s="274" t="s">
        <v>614</v>
      </c>
      <c r="D167" s="276">
        <v>1.21</v>
      </c>
      <c r="E167" s="279">
        <f t="shared" si="75"/>
        <v>0.16729429795566575</v>
      </c>
      <c r="F167" s="276">
        <v>50</v>
      </c>
      <c r="G167" s="276">
        <f t="shared" ref="G167:G172" si="81">+D167*F167/100</f>
        <v>0.60499999999999998</v>
      </c>
      <c r="H167" s="276">
        <f t="shared" ref="H167:H172" si="82">+G167*J167</f>
        <v>6.05</v>
      </c>
      <c r="I167" s="276">
        <f t="shared" si="80"/>
        <v>5</v>
      </c>
      <c r="J167" s="276">
        <v>10</v>
      </c>
      <c r="K167" s="296"/>
      <c r="L167" s="158"/>
    </row>
    <row r="168" spans="1:39" hidden="1" x14ac:dyDescent="0.25">
      <c r="A168" s="274"/>
      <c r="B168" s="278"/>
      <c r="C168" s="274" t="s">
        <v>615</v>
      </c>
      <c r="D168" s="276">
        <v>0.77</v>
      </c>
      <c r="E168" s="279">
        <f t="shared" si="75"/>
        <v>0.10646000778996913</v>
      </c>
      <c r="F168" s="276">
        <v>50</v>
      </c>
      <c r="G168" s="276">
        <f t="shared" si="81"/>
        <v>0.38500000000000001</v>
      </c>
      <c r="H168" s="276">
        <f t="shared" si="82"/>
        <v>7.7</v>
      </c>
      <c r="I168" s="276">
        <f t="shared" si="80"/>
        <v>10</v>
      </c>
      <c r="J168" s="276">
        <v>20</v>
      </c>
      <c r="K168" s="296"/>
      <c r="L168" s="158"/>
    </row>
    <row r="169" spans="1:39" hidden="1" x14ac:dyDescent="0.25">
      <c r="A169" s="274"/>
      <c r="B169" s="278"/>
      <c r="C169" s="274" t="s">
        <v>637</v>
      </c>
      <c r="D169" s="276">
        <v>1.49</v>
      </c>
      <c r="E169" s="279">
        <f t="shared" si="75"/>
        <v>0.20600702806110904</v>
      </c>
      <c r="F169" s="276">
        <v>50</v>
      </c>
      <c r="G169" s="276">
        <f t="shared" si="81"/>
        <v>0.745</v>
      </c>
      <c r="H169" s="276">
        <f t="shared" si="82"/>
        <v>11.175000000000001</v>
      </c>
      <c r="I169" s="276">
        <f t="shared" si="80"/>
        <v>7.5000000000000009</v>
      </c>
      <c r="J169" s="276">
        <v>15</v>
      </c>
      <c r="K169" s="296"/>
      <c r="L169" s="158"/>
    </row>
    <row r="170" spans="1:39" hidden="1" x14ac:dyDescent="0.25">
      <c r="A170" s="274"/>
      <c r="B170" s="278"/>
      <c r="C170" s="274" t="s">
        <v>853</v>
      </c>
      <c r="D170" s="276">
        <v>1.1299999999999999</v>
      </c>
      <c r="E170" s="279">
        <f t="shared" ref="E170" si="83">+D170/$D$3*100</f>
        <v>0.15623351792553908</v>
      </c>
      <c r="F170" s="276">
        <v>40</v>
      </c>
      <c r="G170" s="276">
        <f t="shared" si="81"/>
        <v>0.45199999999999996</v>
      </c>
      <c r="H170" s="276">
        <f t="shared" si="82"/>
        <v>9.0399999999999991</v>
      </c>
      <c r="I170" s="276">
        <f t="shared" ref="I170" si="84">+H170/D170</f>
        <v>8</v>
      </c>
      <c r="J170" s="276">
        <v>20</v>
      </c>
      <c r="K170" s="296"/>
      <c r="L170" s="158"/>
    </row>
    <row r="171" spans="1:39" s="56" customFormat="1" x14ac:dyDescent="0.2">
      <c r="A171" s="261">
        <v>4</v>
      </c>
      <c r="B171" s="266" t="s">
        <v>103</v>
      </c>
      <c r="C171" s="261" t="s">
        <v>80</v>
      </c>
      <c r="D171" s="267">
        <v>1.28</v>
      </c>
      <c r="E171" s="265">
        <f t="shared" si="75"/>
        <v>0.17697248048202657</v>
      </c>
      <c r="F171" s="267">
        <v>40</v>
      </c>
      <c r="G171" s="267">
        <f t="shared" si="81"/>
        <v>0.51200000000000001</v>
      </c>
      <c r="H171" s="267">
        <f t="shared" si="82"/>
        <v>2.56</v>
      </c>
      <c r="I171" s="267">
        <f t="shared" si="80"/>
        <v>2</v>
      </c>
      <c r="J171" s="267">
        <v>5</v>
      </c>
      <c r="K171" s="291"/>
      <c r="L171" s="176"/>
      <c r="M171" s="176"/>
      <c r="N171" s="174"/>
      <c r="O171" s="176"/>
      <c r="P171" s="176"/>
      <c r="Q171" s="176"/>
      <c r="R171" s="176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5"/>
      <c r="AE171" s="175"/>
      <c r="AF171" s="175"/>
      <c r="AG171" s="175"/>
      <c r="AH171" s="175"/>
      <c r="AI171" s="175"/>
      <c r="AJ171" s="175"/>
      <c r="AK171" s="190"/>
      <c r="AL171" s="190"/>
      <c r="AM171" s="190"/>
    </row>
    <row r="172" spans="1:39" s="56" customFormat="1" x14ac:dyDescent="0.2">
      <c r="A172" s="261">
        <v>5</v>
      </c>
      <c r="B172" s="266" t="s">
        <v>104</v>
      </c>
      <c r="C172" s="261"/>
      <c r="D172" s="267">
        <f>+SUM(D173:D174)</f>
        <v>3.2416999999999998</v>
      </c>
      <c r="E172" s="265">
        <f t="shared" si="75"/>
        <v>0.44819663279576993</v>
      </c>
      <c r="F172" s="267">
        <v>40</v>
      </c>
      <c r="G172" s="267">
        <f t="shared" si="81"/>
        <v>1.2966800000000001</v>
      </c>
      <c r="H172" s="267">
        <f t="shared" si="82"/>
        <v>1.2966800000000001</v>
      </c>
      <c r="I172" s="267">
        <f t="shared" si="80"/>
        <v>0.4</v>
      </c>
      <c r="J172" s="267">
        <v>1</v>
      </c>
      <c r="K172" s="291"/>
      <c r="L172" s="176"/>
      <c r="M172" s="176"/>
      <c r="N172" s="174"/>
      <c r="O172" s="176"/>
      <c r="P172" s="176"/>
      <c r="Q172" s="176"/>
      <c r="R172" s="176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5"/>
      <c r="AG172" s="175"/>
      <c r="AH172" s="175"/>
      <c r="AI172" s="175"/>
      <c r="AJ172" s="175"/>
      <c r="AK172" s="190"/>
      <c r="AL172" s="190"/>
      <c r="AM172" s="190"/>
    </row>
    <row r="173" spans="1:39" hidden="1" x14ac:dyDescent="0.25">
      <c r="A173" s="274"/>
      <c r="B173" s="278"/>
      <c r="C173" s="274" t="s">
        <v>338</v>
      </c>
      <c r="D173" s="276">
        <v>1.7353000000000001</v>
      </c>
      <c r="E173" s="279">
        <f t="shared" si="75"/>
        <v>0.23992214482848492</v>
      </c>
      <c r="F173" s="276">
        <v>40</v>
      </c>
      <c r="G173" s="276">
        <f>+D173*F173/100</f>
        <v>0.69412000000000007</v>
      </c>
      <c r="H173" s="276">
        <f>+G173*J173</f>
        <v>0.69412000000000007</v>
      </c>
      <c r="I173" s="276">
        <f t="shared" si="80"/>
        <v>0.4</v>
      </c>
      <c r="J173" s="276">
        <v>1</v>
      </c>
      <c r="K173" s="296"/>
      <c r="L173" s="158"/>
    </row>
    <row r="174" spans="1:39" hidden="1" x14ac:dyDescent="0.25">
      <c r="A174" s="274"/>
      <c r="B174" s="278"/>
      <c r="C174" s="274" t="s">
        <v>656</v>
      </c>
      <c r="D174" s="276">
        <v>1.5064</v>
      </c>
      <c r="E174" s="279">
        <f t="shared" si="75"/>
        <v>0.20827448796728504</v>
      </c>
      <c r="F174" s="276">
        <v>40</v>
      </c>
      <c r="G174" s="276">
        <f t="shared" ref="G174" si="85">+D174*F174/100</f>
        <v>0.60255999999999998</v>
      </c>
      <c r="H174" s="276">
        <f t="shared" ref="H174" si="86">+G174*J174</f>
        <v>0.60255999999999998</v>
      </c>
      <c r="I174" s="276">
        <f t="shared" si="80"/>
        <v>0.4</v>
      </c>
      <c r="J174" s="276">
        <v>1</v>
      </c>
      <c r="K174" s="296"/>
      <c r="L174" s="158"/>
    </row>
    <row r="175" spans="1:39" s="56" customFormat="1" x14ac:dyDescent="0.2">
      <c r="A175" s="261">
        <v>6</v>
      </c>
      <c r="B175" s="266" t="s">
        <v>709</v>
      </c>
      <c r="C175" s="261"/>
      <c r="D175" s="267">
        <f>+D176+D180</f>
        <v>7.9366000000000003</v>
      </c>
      <c r="E175" s="265">
        <f t="shared" si="75"/>
        <v>1.0973123348387908</v>
      </c>
      <c r="F175" s="267"/>
      <c r="G175" s="267"/>
      <c r="H175" s="267"/>
      <c r="I175" s="267"/>
      <c r="J175" s="267"/>
      <c r="K175" s="291"/>
      <c r="L175" s="176"/>
      <c r="M175" s="176"/>
      <c r="N175" s="174"/>
      <c r="O175" s="176"/>
      <c r="P175" s="176"/>
      <c r="Q175" s="176"/>
      <c r="R175" s="176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5"/>
      <c r="AE175" s="175"/>
      <c r="AF175" s="175"/>
      <c r="AG175" s="175"/>
      <c r="AH175" s="175"/>
      <c r="AI175" s="175"/>
      <c r="AJ175" s="175"/>
      <c r="AK175" s="190"/>
      <c r="AL175" s="190"/>
      <c r="AM175" s="190"/>
    </row>
    <row r="176" spans="1:39" s="54" customFormat="1" x14ac:dyDescent="0.25">
      <c r="A176" s="269">
        <v>6.1</v>
      </c>
      <c r="B176" s="270" t="s">
        <v>95</v>
      </c>
      <c r="C176" s="269"/>
      <c r="D176" s="271">
        <f>+SUM(D177:D179)</f>
        <v>4.0065999999999997</v>
      </c>
      <c r="E176" s="292">
        <f t="shared" si="75"/>
        <v>0.55395151585881841</v>
      </c>
      <c r="F176" s="271"/>
      <c r="G176" s="271"/>
      <c r="H176" s="271"/>
      <c r="I176" s="271"/>
      <c r="J176" s="271"/>
      <c r="K176" s="293"/>
      <c r="L176" s="180"/>
      <c r="M176" s="180"/>
      <c r="N176" s="178"/>
      <c r="O176" s="180"/>
      <c r="P176" s="180"/>
      <c r="Q176" s="180"/>
      <c r="R176" s="180"/>
      <c r="S176" s="179"/>
      <c r="T176" s="179"/>
      <c r="U176" s="179"/>
      <c r="V176" s="179"/>
      <c r="W176" s="179"/>
      <c r="X176" s="179"/>
      <c r="Y176" s="179"/>
      <c r="Z176" s="179"/>
      <c r="AA176" s="179"/>
      <c r="AB176" s="179"/>
      <c r="AC176" s="179"/>
      <c r="AD176" s="179"/>
      <c r="AE176" s="179"/>
      <c r="AF176" s="179"/>
      <c r="AG176" s="179"/>
      <c r="AH176" s="179"/>
      <c r="AI176" s="179"/>
      <c r="AJ176" s="179"/>
      <c r="AK176" s="191"/>
      <c r="AL176" s="191"/>
      <c r="AM176" s="191"/>
    </row>
    <row r="177" spans="1:39" hidden="1" x14ac:dyDescent="0.25">
      <c r="A177" s="274"/>
      <c r="B177" s="278"/>
      <c r="C177" s="274" t="s">
        <v>210</v>
      </c>
      <c r="D177" s="276">
        <v>3.0543999999999998</v>
      </c>
      <c r="E177" s="279">
        <f t="shared" si="75"/>
        <v>0.42230058155023592</v>
      </c>
      <c r="F177" s="276"/>
      <c r="G177" s="276"/>
      <c r="H177" s="276"/>
      <c r="I177" s="276"/>
      <c r="J177" s="276"/>
      <c r="K177" s="296"/>
      <c r="L177" s="158"/>
    </row>
    <row r="178" spans="1:39" hidden="1" x14ac:dyDescent="0.25">
      <c r="A178" s="274"/>
      <c r="B178" s="278"/>
      <c r="C178" s="274" t="s">
        <v>214</v>
      </c>
      <c r="D178" s="276">
        <v>0.6532</v>
      </c>
      <c r="E178" s="279">
        <f t="shared" si="75"/>
        <v>9.0311268945984194E-2</v>
      </c>
      <c r="F178" s="276"/>
      <c r="G178" s="276"/>
      <c r="H178" s="276"/>
      <c r="I178" s="276"/>
      <c r="J178" s="276"/>
      <c r="K178" s="296"/>
      <c r="L178" s="158"/>
    </row>
    <row r="179" spans="1:39" hidden="1" x14ac:dyDescent="0.25">
      <c r="A179" s="274"/>
      <c r="B179" s="278"/>
      <c r="C179" s="274" t="s">
        <v>212</v>
      </c>
      <c r="D179" s="276">
        <v>0.29899999999999999</v>
      </c>
      <c r="E179" s="279">
        <f t="shared" si="75"/>
        <v>4.1339665362598393E-2</v>
      </c>
      <c r="F179" s="276"/>
      <c r="G179" s="276"/>
      <c r="H179" s="276"/>
      <c r="I179" s="276"/>
      <c r="J179" s="276"/>
      <c r="K179" s="296"/>
      <c r="L179" s="158"/>
    </row>
    <row r="180" spans="1:39" s="54" customFormat="1" x14ac:dyDescent="0.25">
      <c r="A180" s="269">
        <v>6.2</v>
      </c>
      <c r="B180" s="270" t="s">
        <v>53</v>
      </c>
      <c r="C180" s="269"/>
      <c r="D180" s="271">
        <f>+SUM(D181:D185)</f>
        <v>3.93</v>
      </c>
      <c r="E180" s="292">
        <f t="shared" si="75"/>
        <v>0.54336081897997224</v>
      </c>
      <c r="F180" s="271"/>
      <c r="G180" s="271"/>
      <c r="H180" s="271"/>
      <c r="I180" s="271"/>
      <c r="J180" s="271"/>
      <c r="K180" s="293"/>
      <c r="L180" s="180"/>
      <c r="M180" s="180"/>
      <c r="N180" s="178"/>
      <c r="O180" s="180"/>
      <c r="P180" s="180"/>
      <c r="Q180" s="180"/>
      <c r="R180" s="180"/>
      <c r="S180" s="179"/>
      <c r="T180" s="179"/>
      <c r="U180" s="179"/>
      <c r="V180" s="179"/>
      <c r="W180" s="179"/>
      <c r="X180" s="179"/>
      <c r="Y180" s="179"/>
      <c r="Z180" s="179"/>
      <c r="AA180" s="179"/>
      <c r="AB180" s="179"/>
      <c r="AC180" s="179"/>
      <c r="AD180" s="179"/>
      <c r="AE180" s="179"/>
      <c r="AF180" s="179"/>
      <c r="AG180" s="179"/>
      <c r="AH180" s="179"/>
      <c r="AI180" s="179"/>
      <c r="AJ180" s="179"/>
      <c r="AK180" s="191"/>
      <c r="AL180" s="191"/>
      <c r="AM180" s="191"/>
    </row>
    <row r="181" spans="1:39" hidden="1" x14ac:dyDescent="0.25">
      <c r="A181" s="274"/>
      <c r="B181" s="278"/>
      <c r="C181" s="274" t="s">
        <v>152</v>
      </c>
      <c r="D181" s="276">
        <v>1.1499999999999999</v>
      </c>
      <c r="E181" s="279">
        <f t="shared" si="75"/>
        <v>0.15899871293307075</v>
      </c>
      <c r="F181" s="276"/>
      <c r="G181" s="276"/>
      <c r="H181" s="276"/>
      <c r="I181" s="276"/>
      <c r="J181" s="276"/>
      <c r="K181" s="296"/>
      <c r="L181" s="158"/>
    </row>
    <row r="182" spans="1:39" hidden="1" x14ac:dyDescent="0.25">
      <c r="A182" s="274"/>
      <c r="B182" s="278"/>
      <c r="C182" s="274" t="s">
        <v>248</v>
      </c>
      <c r="D182" s="276">
        <v>1.83</v>
      </c>
      <c r="E182" s="279">
        <f t="shared" si="75"/>
        <v>0.25301534318914737</v>
      </c>
      <c r="F182" s="276"/>
      <c r="G182" s="276"/>
      <c r="H182" s="276"/>
      <c r="I182" s="276"/>
      <c r="J182" s="276"/>
      <c r="K182" s="296"/>
      <c r="L182" s="158"/>
    </row>
    <row r="183" spans="1:39" hidden="1" x14ac:dyDescent="0.25">
      <c r="A183" s="274"/>
      <c r="B183" s="278"/>
      <c r="C183" s="274" t="s">
        <v>244</v>
      </c>
      <c r="D183" s="276">
        <v>0.16</v>
      </c>
      <c r="E183" s="279">
        <f t="shared" si="75"/>
        <v>2.2121560060253322E-2</v>
      </c>
      <c r="F183" s="276"/>
      <c r="G183" s="276"/>
      <c r="H183" s="276"/>
      <c r="I183" s="276"/>
      <c r="J183" s="276"/>
      <c r="K183" s="296"/>
      <c r="L183" s="158"/>
    </row>
    <row r="184" spans="1:39" hidden="1" x14ac:dyDescent="0.25">
      <c r="A184" s="274"/>
      <c r="B184" s="278"/>
      <c r="C184" s="274" t="s">
        <v>246</v>
      </c>
      <c r="D184" s="276">
        <v>0.21</v>
      </c>
      <c r="E184" s="279">
        <f t="shared" si="75"/>
        <v>2.9034547579082484E-2</v>
      </c>
      <c r="F184" s="276"/>
      <c r="G184" s="276"/>
      <c r="H184" s="276"/>
      <c r="I184" s="276"/>
      <c r="J184" s="276"/>
      <c r="K184" s="296"/>
      <c r="L184" s="158"/>
    </row>
    <row r="185" spans="1:39" hidden="1" x14ac:dyDescent="0.25">
      <c r="A185" s="274"/>
      <c r="B185" s="278"/>
      <c r="C185" s="274" t="s">
        <v>617</v>
      </c>
      <c r="D185" s="276">
        <v>0.57999999999999996</v>
      </c>
      <c r="E185" s="279">
        <f t="shared" si="75"/>
        <v>8.0190655218418283E-2</v>
      </c>
      <c r="F185" s="276"/>
      <c r="G185" s="276"/>
      <c r="H185" s="276"/>
      <c r="I185" s="276"/>
      <c r="J185" s="276"/>
      <c r="K185" s="296"/>
      <c r="L185" s="158"/>
    </row>
    <row r="186" spans="1:39" s="91" customFormat="1" ht="20.25" customHeight="1" x14ac:dyDescent="0.2">
      <c r="A186" s="263" t="s">
        <v>608</v>
      </c>
      <c r="B186" s="264" t="s">
        <v>624</v>
      </c>
      <c r="C186" s="263"/>
      <c r="D186" s="265">
        <f>+D187</f>
        <v>1.8099999999999998</v>
      </c>
      <c r="E186" s="265">
        <f t="shared" si="75"/>
        <v>0.25025014818161567</v>
      </c>
      <c r="F186" s="265"/>
      <c r="G186" s="265"/>
      <c r="H186" s="265"/>
      <c r="I186" s="265"/>
      <c r="J186" s="265"/>
      <c r="K186" s="290"/>
      <c r="L186" s="170"/>
      <c r="M186" s="170"/>
      <c r="N186" s="171"/>
      <c r="O186" s="170"/>
      <c r="P186" s="170"/>
      <c r="Q186" s="170"/>
      <c r="R186" s="170"/>
      <c r="S186" s="170"/>
      <c r="T186" s="170"/>
      <c r="U186" s="170"/>
      <c r="V186" s="170"/>
      <c r="W186" s="170"/>
      <c r="X186" s="170"/>
      <c r="Y186" s="170"/>
      <c r="Z186" s="170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0"/>
      <c r="AK186" s="172"/>
      <c r="AL186" s="173"/>
      <c r="AM186" s="173"/>
    </row>
    <row r="187" spans="1:39" s="56" customFormat="1" x14ac:dyDescent="0.2">
      <c r="A187" s="261">
        <v>1</v>
      </c>
      <c r="B187" s="266" t="s">
        <v>120</v>
      </c>
      <c r="C187" s="261"/>
      <c r="D187" s="267">
        <f>+SUM(D188:D191)</f>
        <v>1.8099999999999998</v>
      </c>
      <c r="E187" s="265">
        <f t="shared" si="75"/>
        <v>0.25025014818161567</v>
      </c>
      <c r="F187" s="267"/>
      <c r="G187" s="267"/>
      <c r="H187" s="267"/>
      <c r="I187" s="267"/>
      <c r="J187" s="267"/>
      <c r="K187" s="291"/>
      <c r="L187" s="176"/>
      <c r="M187" s="176"/>
      <c r="N187" s="174"/>
      <c r="O187" s="176"/>
      <c r="P187" s="176"/>
      <c r="Q187" s="176"/>
      <c r="R187" s="176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5"/>
      <c r="AG187" s="175"/>
      <c r="AH187" s="175"/>
      <c r="AI187" s="175"/>
      <c r="AJ187" s="175"/>
      <c r="AK187" s="190"/>
      <c r="AL187" s="190"/>
      <c r="AM187" s="190"/>
    </row>
    <row r="188" spans="1:39" hidden="1" x14ac:dyDescent="0.25">
      <c r="A188" s="274"/>
      <c r="B188" s="278"/>
      <c r="C188" s="274" t="s">
        <v>228</v>
      </c>
      <c r="D188" s="276">
        <v>0.64</v>
      </c>
      <c r="E188" s="279">
        <f t="shared" si="75"/>
        <v>8.8486240241013286E-2</v>
      </c>
      <c r="F188" s="276"/>
      <c r="G188" s="276"/>
      <c r="H188" s="276"/>
      <c r="I188" s="276"/>
      <c r="J188" s="276"/>
      <c r="K188" s="296"/>
      <c r="L188" s="158"/>
    </row>
    <row r="189" spans="1:39" hidden="1" x14ac:dyDescent="0.25">
      <c r="A189" s="274"/>
      <c r="B189" s="278"/>
      <c r="C189" s="274" t="s">
        <v>144</v>
      </c>
      <c r="D189" s="276">
        <v>0.32</v>
      </c>
      <c r="E189" s="279">
        <f t="shared" si="75"/>
        <v>4.4243120120506643E-2</v>
      </c>
      <c r="F189" s="276"/>
      <c r="G189" s="276"/>
      <c r="H189" s="276"/>
      <c r="I189" s="276"/>
      <c r="J189" s="276"/>
      <c r="K189" s="296"/>
      <c r="L189" s="158"/>
    </row>
    <row r="190" spans="1:39" hidden="1" x14ac:dyDescent="0.25">
      <c r="A190" s="274"/>
      <c r="B190" s="278"/>
      <c r="C190" s="274" t="s">
        <v>224</v>
      </c>
      <c r="D190" s="276">
        <v>0.69</v>
      </c>
      <c r="E190" s="279">
        <f t="shared" si="75"/>
        <v>9.5399227759842442E-2</v>
      </c>
      <c r="F190" s="276"/>
      <c r="G190" s="276"/>
      <c r="H190" s="276"/>
      <c r="I190" s="276"/>
      <c r="J190" s="276"/>
      <c r="K190" s="296"/>
      <c r="L190" s="158"/>
    </row>
    <row r="191" spans="1:39" hidden="1" x14ac:dyDescent="0.25">
      <c r="A191" s="274"/>
      <c r="B191" s="278"/>
      <c r="C191" s="274" t="s">
        <v>176</v>
      </c>
      <c r="D191" s="276">
        <v>0.16</v>
      </c>
      <c r="E191" s="279">
        <f t="shared" si="75"/>
        <v>2.2121560060253322E-2</v>
      </c>
      <c r="F191" s="276"/>
      <c r="G191" s="276"/>
      <c r="H191" s="276"/>
      <c r="I191" s="276"/>
      <c r="J191" s="276"/>
      <c r="K191" s="296"/>
      <c r="L191" s="158"/>
    </row>
    <row r="192" spans="1:39" s="91" customFormat="1" ht="20.25" customHeight="1" x14ac:dyDescent="0.2">
      <c r="A192" s="263" t="s">
        <v>623</v>
      </c>
      <c r="B192" s="264" t="s">
        <v>605</v>
      </c>
      <c r="C192" s="263"/>
      <c r="D192" s="265">
        <f>+D90-D91-D158-D186</f>
        <v>25.973651000000029</v>
      </c>
      <c r="E192" s="265">
        <f t="shared" si="75"/>
        <v>3.5911105036284958</v>
      </c>
      <c r="F192" s="265"/>
      <c r="G192" s="265"/>
      <c r="H192" s="265"/>
      <c r="I192" s="265"/>
      <c r="J192" s="265"/>
      <c r="K192" s="290"/>
      <c r="L192" s="170"/>
      <c r="M192" s="170"/>
      <c r="N192" s="171"/>
      <c r="O192" s="170"/>
      <c r="P192" s="170"/>
      <c r="Q192" s="170"/>
      <c r="R192" s="170"/>
      <c r="S192" s="170"/>
      <c r="T192" s="170"/>
      <c r="U192" s="170"/>
      <c r="V192" s="170"/>
      <c r="W192" s="170"/>
      <c r="X192" s="170"/>
      <c r="Y192" s="170"/>
      <c r="Z192" s="170"/>
      <c r="AA192" s="170"/>
      <c r="AB192" s="170"/>
      <c r="AC192" s="170"/>
      <c r="AD192" s="170"/>
      <c r="AE192" s="170"/>
      <c r="AF192" s="170"/>
      <c r="AG192" s="170"/>
      <c r="AH192" s="170"/>
      <c r="AI192" s="170"/>
      <c r="AJ192" s="170"/>
      <c r="AK192" s="172"/>
      <c r="AL192" s="173"/>
      <c r="AM192" s="173"/>
    </row>
    <row r="193" spans="1:39" s="90" customFormat="1" ht="18" customHeight="1" x14ac:dyDescent="0.2">
      <c r="A193" s="261" t="s">
        <v>863</v>
      </c>
      <c r="B193" s="266" t="s">
        <v>592</v>
      </c>
      <c r="C193" s="261"/>
      <c r="D193" s="267">
        <f>2827569.14/10000</f>
        <v>282.75691399999999</v>
      </c>
      <c r="E193" s="265">
        <f t="shared" si="75"/>
        <v>39.093900346893022</v>
      </c>
      <c r="F193" s="267">
        <f>+G193*100/D193</f>
        <v>37.091147840155017</v>
      </c>
      <c r="G193" s="267">
        <f>+G194+G269</f>
        <v>104.87778499999999</v>
      </c>
      <c r="H193" s="267"/>
      <c r="I193" s="267"/>
      <c r="J193" s="267"/>
      <c r="K193" s="291">
        <f>+K195</f>
        <v>15447.928571428572</v>
      </c>
      <c r="L193" s="184"/>
      <c r="M193" s="184"/>
      <c r="N193" s="185"/>
      <c r="O193" s="184"/>
      <c r="P193" s="184"/>
      <c r="Q193" s="184"/>
      <c r="R193" s="184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86"/>
      <c r="AL193" s="186"/>
      <c r="AM193" s="186"/>
    </row>
    <row r="194" spans="1:39" s="91" customFormat="1" ht="20.25" customHeight="1" x14ac:dyDescent="0.2">
      <c r="A194" s="263" t="s">
        <v>606</v>
      </c>
      <c r="B194" s="264" t="s">
        <v>594</v>
      </c>
      <c r="C194" s="263"/>
      <c r="D194" s="265">
        <f>+D195+D260+D264</f>
        <v>135.18560000000002</v>
      </c>
      <c r="E194" s="265">
        <f t="shared" si="75"/>
        <v>18.690727310508638</v>
      </c>
      <c r="F194" s="265"/>
      <c r="G194" s="265">
        <f>+G195+G260+G264</f>
        <v>74.884464999999992</v>
      </c>
      <c r="H194" s="265"/>
      <c r="I194" s="265"/>
      <c r="J194" s="265"/>
      <c r="K194" s="290"/>
      <c r="L194" s="170"/>
      <c r="M194" s="170"/>
      <c r="N194" s="171"/>
      <c r="O194" s="170"/>
      <c r="P194" s="170"/>
      <c r="Q194" s="170"/>
      <c r="R194" s="170"/>
      <c r="S194" s="170"/>
      <c r="T194" s="170"/>
      <c r="U194" s="170"/>
      <c r="V194" s="170"/>
      <c r="W194" s="170"/>
      <c r="X194" s="170"/>
      <c r="Y194" s="170"/>
      <c r="Z194" s="170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2"/>
      <c r="AL194" s="173"/>
      <c r="AM194" s="173"/>
    </row>
    <row r="195" spans="1:39" s="56" customFormat="1" x14ac:dyDescent="0.2">
      <c r="A195" s="261">
        <v>1</v>
      </c>
      <c r="B195" s="266" t="s">
        <v>593</v>
      </c>
      <c r="C195" s="261"/>
      <c r="D195" s="267">
        <f>+D196+D215+D250+D256+D246</f>
        <v>131.4631</v>
      </c>
      <c r="E195" s="265">
        <f t="shared" si="75"/>
        <v>18.176055389731804</v>
      </c>
      <c r="F195" s="267"/>
      <c r="G195" s="267">
        <f>+G196+G215+G246+G250+G256</f>
        <v>73.958964999999992</v>
      </c>
      <c r="H195" s="267"/>
      <c r="I195" s="267"/>
      <c r="J195" s="267"/>
      <c r="K195" s="291">
        <f>+K196+K215</f>
        <v>15447.928571428572</v>
      </c>
      <c r="L195" s="174"/>
      <c r="M195" s="176"/>
      <c r="N195" s="174"/>
      <c r="O195" s="176"/>
      <c r="P195" s="176"/>
      <c r="Q195" s="176"/>
      <c r="R195" s="176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5"/>
      <c r="AE195" s="175"/>
      <c r="AF195" s="175"/>
      <c r="AG195" s="175"/>
      <c r="AH195" s="175"/>
      <c r="AI195" s="175"/>
      <c r="AJ195" s="175"/>
      <c r="AK195" s="190"/>
      <c r="AL195" s="190"/>
      <c r="AM195" s="190"/>
    </row>
    <row r="196" spans="1:39" s="54" customFormat="1" x14ac:dyDescent="0.25">
      <c r="A196" s="269" t="s">
        <v>31</v>
      </c>
      <c r="B196" s="270" t="s">
        <v>89</v>
      </c>
      <c r="C196" s="269"/>
      <c r="D196" s="271">
        <f>+D197+D208+D212</f>
        <v>48.592500000000001</v>
      </c>
      <c r="E196" s="292">
        <f t="shared" si="75"/>
        <v>6.7183869201741224</v>
      </c>
      <c r="F196" s="271">
        <v>60</v>
      </c>
      <c r="G196" s="271">
        <f>+G197+G208+G212</f>
        <v>29.1555</v>
      </c>
      <c r="H196" s="271"/>
      <c r="I196" s="271"/>
      <c r="J196" s="297" t="s">
        <v>866</v>
      </c>
      <c r="K196" s="293">
        <f>+N197+N199+N201+30</f>
        <v>10127.928571428572</v>
      </c>
      <c r="L196" s="178"/>
      <c r="M196" s="180"/>
      <c r="N196" s="178"/>
      <c r="O196" s="180"/>
      <c r="P196" s="180"/>
      <c r="Q196" s="180"/>
      <c r="R196" s="180"/>
      <c r="S196" s="179"/>
      <c r="T196" s="179"/>
      <c r="U196" s="179"/>
      <c r="V196" s="179"/>
      <c r="W196" s="179"/>
      <c r="X196" s="179"/>
      <c r="Y196" s="179"/>
      <c r="Z196" s="179"/>
      <c r="AA196" s="179"/>
      <c r="AB196" s="179"/>
      <c r="AC196" s="179"/>
      <c r="AD196" s="179"/>
      <c r="AE196" s="179"/>
      <c r="AF196" s="179"/>
      <c r="AG196" s="179"/>
      <c r="AH196" s="179"/>
      <c r="AI196" s="179"/>
      <c r="AJ196" s="179"/>
      <c r="AK196" s="191"/>
      <c r="AL196" s="191"/>
      <c r="AM196" s="191"/>
    </row>
    <row r="197" spans="1:39" x14ac:dyDescent="0.25">
      <c r="A197" s="272" t="s">
        <v>707</v>
      </c>
      <c r="B197" s="273" t="s">
        <v>36</v>
      </c>
      <c r="C197" s="272"/>
      <c r="D197" s="275">
        <f>+SUM(D198:D207)</f>
        <v>40.264800000000001</v>
      </c>
      <c r="E197" s="294">
        <f t="shared" si="75"/>
        <v>5.5670011969630497</v>
      </c>
      <c r="F197" s="275">
        <v>60</v>
      </c>
      <c r="G197" s="275">
        <f t="shared" ref="G197" si="87">+D197*F197/100</f>
        <v>24.15888</v>
      </c>
      <c r="H197" s="275">
        <f t="shared" ref="H197" si="88">+G197*J197</f>
        <v>169.11215999999999</v>
      </c>
      <c r="I197" s="275">
        <f>+H197/D197</f>
        <v>4.1999999999999993</v>
      </c>
      <c r="J197" s="275">
        <v>7</v>
      </c>
      <c r="K197" s="295"/>
      <c r="L197" s="158"/>
      <c r="M197" s="158">
        <f>+D197+D208-M199-M201</f>
        <v>3.4550000000000018</v>
      </c>
      <c r="N197" s="159">
        <f>+M197*10000/28</f>
        <v>1233.9285714285722</v>
      </c>
    </row>
    <row r="198" spans="1:39" hidden="1" x14ac:dyDescent="0.25">
      <c r="A198" s="274"/>
      <c r="B198" s="278"/>
      <c r="C198" s="274" t="s">
        <v>426</v>
      </c>
      <c r="D198" s="276">
        <v>3.4550000000000001</v>
      </c>
      <c r="E198" s="279">
        <f t="shared" si="75"/>
        <v>0.47768743755109516</v>
      </c>
      <c r="F198" s="276">
        <v>60</v>
      </c>
      <c r="G198" s="276">
        <f t="shared" ref="G198:G250" si="89">+D198*F198/100</f>
        <v>2.073</v>
      </c>
      <c r="H198" s="276">
        <f t="shared" ref="H198:H206" si="90">+G198*J198</f>
        <v>14.510999999999999</v>
      </c>
      <c r="I198" s="276">
        <f>+H198/D198</f>
        <v>4.1999999999999993</v>
      </c>
      <c r="J198" s="276">
        <v>7</v>
      </c>
      <c r="K198" s="296"/>
      <c r="L198" s="158"/>
      <c r="M198" s="183" t="s">
        <v>639</v>
      </c>
      <c r="N198" s="198"/>
    </row>
    <row r="199" spans="1:39" hidden="1" x14ac:dyDescent="0.25">
      <c r="A199" s="274"/>
      <c r="B199" s="278"/>
      <c r="C199" s="274" t="s">
        <v>160</v>
      </c>
      <c r="D199" s="276">
        <v>1.5490999999999999</v>
      </c>
      <c r="E199" s="279">
        <f t="shared" si="75"/>
        <v>0.21417817930836514</v>
      </c>
      <c r="F199" s="276">
        <v>60</v>
      </c>
      <c r="G199" s="276">
        <f t="shared" si="89"/>
        <v>0.92945999999999995</v>
      </c>
      <c r="H199" s="276">
        <f t="shared" si="90"/>
        <v>6.5062199999999999</v>
      </c>
      <c r="I199" s="276">
        <f t="shared" ref="I199:I264" si="91">+H199/D199</f>
        <v>4.2</v>
      </c>
      <c r="J199" s="276">
        <v>7</v>
      </c>
      <c r="K199" s="296"/>
      <c r="L199" s="158"/>
      <c r="M199" s="158">
        <f>+SUM(D203:D207)+D208</f>
        <v>14.5542</v>
      </c>
      <c r="N199" s="159">
        <f>+QHCT!E6+QHCT!H6</f>
        <v>2980</v>
      </c>
    </row>
    <row r="200" spans="1:39" hidden="1" x14ac:dyDescent="0.25">
      <c r="A200" s="274"/>
      <c r="B200" s="278"/>
      <c r="C200" s="274" t="s">
        <v>424</v>
      </c>
      <c r="D200" s="276">
        <v>7.8566000000000003</v>
      </c>
      <c r="E200" s="279">
        <f t="shared" si="75"/>
        <v>1.0862515548086642</v>
      </c>
      <c r="F200" s="276">
        <v>60</v>
      </c>
      <c r="G200" s="276">
        <f t="shared" si="89"/>
        <v>4.7139600000000002</v>
      </c>
      <c r="H200" s="276">
        <f t="shared" si="90"/>
        <v>32.997720000000001</v>
      </c>
      <c r="I200" s="276">
        <f t="shared" si="91"/>
        <v>4.2</v>
      </c>
      <c r="J200" s="276">
        <v>7</v>
      </c>
      <c r="K200" s="296"/>
      <c r="L200" s="158"/>
      <c r="M200" s="183" t="s">
        <v>640</v>
      </c>
    </row>
    <row r="201" spans="1:39" hidden="1" x14ac:dyDescent="0.25">
      <c r="A201" s="274"/>
      <c r="B201" s="278"/>
      <c r="C201" s="274" t="s">
        <v>418</v>
      </c>
      <c r="D201" s="276">
        <v>17.725999999999999</v>
      </c>
      <c r="E201" s="279">
        <f t="shared" si="75"/>
        <v>2.4507923351753149</v>
      </c>
      <c r="F201" s="276">
        <v>60</v>
      </c>
      <c r="G201" s="276">
        <f t="shared" si="89"/>
        <v>10.6356</v>
      </c>
      <c r="H201" s="276">
        <f t="shared" si="90"/>
        <v>74.449200000000005</v>
      </c>
      <c r="I201" s="276">
        <f t="shared" si="91"/>
        <v>4.2</v>
      </c>
      <c r="J201" s="276">
        <v>7</v>
      </c>
      <c r="K201" s="296"/>
      <c r="L201" s="158"/>
      <c r="M201" s="158">
        <f>+SUM(D199:D202)</f>
        <v>27.951699999999999</v>
      </c>
      <c r="N201" s="159">
        <f>+QHCT!E7</f>
        <v>5884</v>
      </c>
    </row>
    <row r="202" spans="1:39" hidden="1" x14ac:dyDescent="0.25">
      <c r="A202" s="274"/>
      <c r="B202" s="278"/>
      <c r="C202" s="274" t="s">
        <v>422</v>
      </c>
      <c r="D202" s="276">
        <v>0.82</v>
      </c>
      <c r="E202" s="279">
        <f t="shared" si="75"/>
        <v>0.11337299530879827</v>
      </c>
      <c r="F202" s="276">
        <v>60</v>
      </c>
      <c r="G202" s="276">
        <f t="shared" ref="G202" si="92">+D202*F202/100</f>
        <v>0.49199999999999994</v>
      </c>
      <c r="H202" s="276">
        <f t="shared" ref="H202" si="93">+G202*J202</f>
        <v>3.4439999999999995</v>
      </c>
      <c r="I202" s="276">
        <f t="shared" si="91"/>
        <v>4.1999999999999993</v>
      </c>
      <c r="J202" s="276">
        <v>7</v>
      </c>
      <c r="K202" s="296"/>
      <c r="L202" s="158"/>
    </row>
    <row r="203" spans="1:39" hidden="1" x14ac:dyDescent="0.25">
      <c r="A203" s="274"/>
      <c r="B203" s="278"/>
      <c r="C203" s="274" t="s">
        <v>420</v>
      </c>
      <c r="D203" s="276">
        <v>2.1570999999999998</v>
      </c>
      <c r="E203" s="279">
        <f t="shared" si="75"/>
        <v>0.29824010753732777</v>
      </c>
      <c r="F203" s="276">
        <v>60</v>
      </c>
      <c r="G203" s="276">
        <f t="shared" si="89"/>
        <v>1.29426</v>
      </c>
      <c r="H203" s="276">
        <f t="shared" si="90"/>
        <v>9.0598200000000002</v>
      </c>
      <c r="I203" s="276">
        <f t="shared" si="91"/>
        <v>4.2</v>
      </c>
      <c r="J203" s="276">
        <v>7</v>
      </c>
      <c r="K203" s="296"/>
      <c r="L203" s="158"/>
    </row>
    <row r="204" spans="1:39" hidden="1" x14ac:dyDescent="0.25">
      <c r="A204" s="274"/>
      <c r="B204" s="278"/>
      <c r="C204" s="274" t="s">
        <v>162</v>
      </c>
      <c r="D204" s="276">
        <v>3.2991000000000001</v>
      </c>
      <c r="E204" s="279">
        <f t="shared" si="75"/>
        <v>0.45613274246738589</v>
      </c>
      <c r="F204" s="276">
        <v>60</v>
      </c>
      <c r="G204" s="276">
        <f t="shared" si="89"/>
        <v>1.97946</v>
      </c>
      <c r="H204" s="276">
        <f t="shared" si="90"/>
        <v>13.85622</v>
      </c>
      <c r="I204" s="276">
        <f t="shared" si="91"/>
        <v>4.2</v>
      </c>
      <c r="J204" s="276">
        <v>7</v>
      </c>
      <c r="K204" s="296"/>
      <c r="L204" s="158"/>
    </row>
    <row r="205" spans="1:39" hidden="1" x14ac:dyDescent="0.25">
      <c r="A205" s="274"/>
      <c r="B205" s="278"/>
      <c r="C205" s="274" t="s">
        <v>416</v>
      </c>
      <c r="D205" s="276">
        <v>1.504</v>
      </c>
      <c r="E205" s="279">
        <f t="shared" si="75"/>
        <v>0.20794266456638125</v>
      </c>
      <c r="F205" s="276">
        <v>60</v>
      </c>
      <c r="G205" s="276">
        <f t="shared" si="89"/>
        <v>0.90239999999999998</v>
      </c>
      <c r="H205" s="276">
        <f t="shared" si="90"/>
        <v>6.3167999999999997</v>
      </c>
      <c r="I205" s="276">
        <f t="shared" si="91"/>
        <v>4.2</v>
      </c>
      <c r="J205" s="276">
        <v>7</v>
      </c>
      <c r="K205" s="296"/>
      <c r="L205" s="158"/>
    </row>
    <row r="206" spans="1:39" hidden="1" x14ac:dyDescent="0.25">
      <c r="A206" s="274"/>
      <c r="B206" s="278"/>
      <c r="C206" s="274" t="s">
        <v>158</v>
      </c>
      <c r="D206" s="276">
        <v>0.57020000000000004</v>
      </c>
      <c r="E206" s="279">
        <f t="shared" si="75"/>
        <v>7.8835709664727777E-2</v>
      </c>
      <c r="F206" s="276">
        <v>60</v>
      </c>
      <c r="G206" s="276">
        <f t="shared" si="89"/>
        <v>0.34212000000000004</v>
      </c>
      <c r="H206" s="276">
        <f t="shared" si="90"/>
        <v>2.3948400000000003</v>
      </c>
      <c r="I206" s="276">
        <f t="shared" si="91"/>
        <v>4.2</v>
      </c>
      <c r="J206" s="276">
        <v>7</v>
      </c>
      <c r="K206" s="296"/>
      <c r="L206" s="158"/>
    </row>
    <row r="207" spans="1:39" hidden="1" x14ac:dyDescent="0.25">
      <c r="A207" s="274"/>
      <c r="B207" s="278"/>
      <c r="C207" s="274" t="s">
        <v>156</v>
      </c>
      <c r="D207" s="276">
        <v>1.3277000000000001</v>
      </c>
      <c r="E207" s="279">
        <f t="shared" si="75"/>
        <v>0.18356747057498962</v>
      </c>
      <c r="F207" s="276">
        <v>60</v>
      </c>
      <c r="G207" s="276">
        <f t="shared" ref="G207:G216" si="94">+D207*F207/100</f>
        <v>0.79662000000000011</v>
      </c>
      <c r="H207" s="276">
        <f t="shared" ref="H207:H216" si="95">+G207*J207</f>
        <v>5.576340000000001</v>
      </c>
      <c r="I207" s="276">
        <f t="shared" si="91"/>
        <v>4.2</v>
      </c>
      <c r="J207" s="276">
        <v>7</v>
      </c>
      <c r="K207" s="296"/>
      <c r="L207" s="158"/>
    </row>
    <row r="208" spans="1:39" x14ac:dyDescent="0.25">
      <c r="A208" s="272" t="s">
        <v>708</v>
      </c>
      <c r="B208" s="273" t="s">
        <v>37</v>
      </c>
      <c r="C208" s="272"/>
      <c r="D208" s="275">
        <f>+SUM(D209:D211)</f>
        <v>5.6960999999999995</v>
      </c>
      <c r="E208" s="294">
        <f t="shared" si="75"/>
        <v>0.78754136412005593</v>
      </c>
      <c r="F208" s="275">
        <v>60</v>
      </c>
      <c r="G208" s="275">
        <f>+D208*F208/100</f>
        <v>3.4176599999999997</v>
      </c>
      <c r="H208" s="275">
        <f>+G208*J208</f>
        <v>10.252979999999999</v>
      </c>
      <c r="I208" s="275">
        <f t="shared" si="91"/>
        <v>1.8</v>
      </c>
      <c r="J208" s="275">
        <f>+J209</f>
        <v>3</v>
      </c>
      <c r="K208" s="298"/>
      <c r="L208" s="158"/>
    </row>
    <row r="209" spans="1:39" hidden="1" x14ac:dyDescent="0.25">
      <c r="A209" s="274"/>
      <c r="B209" s="278"/>
      <c r="C209" s="274" t="s">
        <v>174</v>
      </c>
      <c r="D209" s="276">
        <v>2.5602999999999998</v>
      </c>
      <c r="E209" s="279">
        <f t="shared" si="75"/>
        <v>0.35398643888916614</v>
      </c>
      <c r="F209" s="276">
        <v>60</v>
      </c>
      <c r="G209" s="276">
        <f>+D209*F209/100</f>
        <v>1.5361799999999999</v>
      </c>
      <c r="H209" s="276">
        <f>+G209*J209</f>
        <v>4.6085399999999996</v>
      </c>
      <c r="I209" s="276">
        <f t="shared" si="91"/>
        <v>1.8</v>
      </c>
      <c r="J209" s="276">
        <v>3</v>
      </c>
      <c r="K209" s="296"/>
      <c r="L209" s="158"/>
    </row>
    <row r="210" spans="1:39" hidden="1" x14ac:dyDescent="0.25">
      <c r="A210" s="274"/>
      <c r="B210" s="278"/>
      <c r="C210" s="274" t="s">
        <v>172</v>
      </c>
      <c r="D210" s="276">
        <v>2.1398000000000001</v>
      </c>
      <c r="E210" s="279">
        <f t="shared" si="75"/>
        <v>0.29584821385581289</v>
      </c>
      <c r="F210" s="276">
        <v>60</v>
      </c>
      <c r="G210" s="276">
        <f>+D210*F210/100</f>
        <v>1.2838800000000001</v>
      </c>
      <c r="H210" s="276">
        <f>+G210*J210</f>
        <v>3.8516400000000006</v>
      </c>
      <c r="I210" s="276">
        <f t="shared" si="91"/>
        <v>1.8000000000000003</v>
      </c>
      <c r="J210" s="276">
        <v>3</v>
      </c>
      <c r="K210" s="296"/>
      <c r="L210" s="158"/>
    </row>
    <row r="211" spans="1:39" hidden="1" x14ac:dyDescent="0.25">
      <c r="A211" s="274"/>
      <c r="B211" s="278"/>
      <c r="C211" s="274" t="s">
        <v>641</v>
      </c>
      <c r="D211" s="276">
        <v>0.996</v>
      </c>
      <c r="E211" s="279">
        <f t="shared" si="75"/>
        <v>0.13770671137507692</v>
      </c>
      <c r="F211" s="276">
        <v>60</v>
      </c>
      <c r="G211" s="276">
        <f>+D211*F211/100</f>
        <v>0.59760000000000002</v>
      </c>
      <c r="H211" s="276">
        <f>+G211*J211</f>
        <v>1.7928000000000002</v>
      </c>
      <c r="I211" s="276">
        <f t="shared" si="91"/>
        <v>1.8000000000000003</v>
      </c>
      <c r="J211" s="276">
        <v>3</v>
      </c>
      <c r="K211" s="296"/>
      <c r="L211" s="158"/>
    </row>
    <row r="212" spans="1:39" x14ac:dyDescent="0.25">
      <c r="A212" s="272" t="s">
        <v>724</v>
      </c>
      <c r="B212" s="273" t="s">
        <v>725</v>
      </c>
      <c r="C212" s="272"/>
      <c r="D212" s="275">
        <f>+D213+D214</f>
        <v>2.6316000000000002</v>
      </c>
      <c r="E212" s="294">
        <f t="shared" si="75"/>
        <v>0.36384435909101653</v>
      </c>
      <c r="F212" s="275">
        <v>60</v>
      </c>
      <c r="G212" s="275">
        <f t="shared" ref="G212:G214" si="96">+D212*F212/100</f>
        <v>1.5789600000000001</v>
      </c>
      <c r="H212" s="275">
        <f t="shared" ref="H212:H214" si="97">+G212*J212</f>
        <v>14.210640000000001</v>
      </c>
      <c r="I212" s="275">
        <f t="shared" si="91"/>
        <v>5.4</v>
      </c>
      <c r="J212" s="275">
        <v>9</v>
      </c>
      <c r="K212" s="298"/>
      <c r="L212" s="158"/>
    </row>
    <row r="213" spans="1:39" hidden="1" x14ac:dyDescent="0.25">
      <c r="A213" s="274"/>
      <c r="B213" s="278"/>
      <c r="C213" s="274" t="s">
        <v>400</v>
      </c>
      <c r="D213" s="276">
        <v>0.8861</v>
      </c>
      <c r="E213" s="279">
        <f t="shared" si="75"/>
        <v>0.12251196480869042</v>
      </c>
      <c r="F213" s="276">
        <v>60</v>
      </c>
      <c r="G213" s="276">
        <f t="shared" si="96"/>
        <v>0.53166000000000002</v>
      </c>
      <c r="H213" s="276">
        <f t="shared" si="97"/>
        <v>4.7849400000000006</v>
      </c>
      <c r="I213" s="276">
        <f t="shared" si="91"/>
        <v>5.4</v>
      </c>
      <c r="J213" s="276">
        <v>9</v>
      </c>
      <c r="K213" s="296"/>
      <c r="L213" s="158"/>
    </row>
    <row r="214" spans="1:39" hidden="1" x14ac:dyDescent="0.25">
      <c r="A214" s="274"/>
      <c r="B214" s="278"/>
      <c r="C214" s="274" t="s">
        <v>398</v>
      </c>
      <c r="D214" s="276">
        <v>1.7455000000000001</v>
      </c>
      <c r="E214" s="279">
        <f t="shared" si="75"/>
        <v>0.24133239428232611</v>
      </c>
      <c r="F214" s="276">
        <v>60</v>
      </c>
      <c r="G214" s="276">
        <f t="shared" si="96"/>
        <v>1.0473000000000001</v>
      </c>
      <c r="H214" s="276">
        <f t="shared" si="97"/>
        <v>9.4257000000000009</v>
      </c>
      <c r="I214" s="276">
        <f t="shared" si="91"/>
        <v>5.4</v>
      </c>
      <c r="J214" s="276">
        <v>9</v>
      </c>
      <c r="K214" s="296"/>
      <c r="L214" s="158"/>
    </row>
    <row r="215" spans="1:39" s="54" customFormat="1" x14ac:dyDescent="0.25">
      <c r="A215" s="269">
        <v>1.2</v>
      </c>
      <c r="B215" s="270" t="s">
        <v>90</v>
      </c>
      <c r="C215" s="269"/>
      <c r="D215" s="271">
        <f>+SUM(D216:D245)</f>
        <v>72.277000000000001</v>
      </c>
      <c r="E215" s="292">
        <f t="shared" si="75"/>
        <v>9.9929999779683083</v>
      </c>
      <c r="F215" s="271">
        <v>60</v>
      </c>
      <c r="G215" s="271">
        <f t="shared" si="94"/>
        <v>43.366199999999999</v>
      </c>
      <c r="H215" s="271">
        <f t="shared" si="95"/>
        <v>303.5634</v>
      </c>
      <c r="I215" s="271">
        <f t="shared" si="91"/>
        <v>4.2</v>
      </c>
      <c r="J215" s="271">
        <f>+J217</f>
        <v>7</v>
      </c>
      <c r="K215" s="293">
        <v>5320</v>
      </c>
      <c r="L215" s="180"/>
      <c r="M215" s="180"/>
      <c r="N215" s="178"/>
      <c r="O215" s="180"/>
      <c r="P215" s="180"/>
      <c r="Q215" s="180"/>
      <c r="R215" s="180"/>
      <c r="S215" s="179"/>
      <c r="T215" s="179"/>
      <c r="U215" s="179"/>
      <c r="V215" s="179"/>
      <c r="W215" s="179"/>
      <c r="X215" s="179"/>
      <c r="Y215" s="179"/>
      <c r="Z215" s="179"/>
      <c r="AA215" s="179"/>
      <c r="AB215" s="179"/>
      <c r="AC215" s="179"/>
      <c r="AD215" s="179"/>
      <c r="AE215" s="179"/>
      <c r="AF215" s="179"/>
      <c r="AG215" s="179"/>
      <c r="AH215" s="179"/>
      <c r="AI215" s="179"/>
      <c r="AJ215" s="179"/>
      <c r="AK215" s="191"/>
      <c r="AL215" s="191"/>
      <c r="AM215" s="191"/>
    </row>
    <row r="216" spans="1:39" s="54" customFormat="1" hidden="1" x14ac:dyDescent="0.25">
      <c r="A216" s="269"/>
      <c r="B216" s="270"/>
      <c r="C216" s="274" t="s">
        <v>518</v>
      </c>
      <c r="D216" s="276">
        <v>0.46</v>
      </c>
      <c r="E216" s="279">
        <f t="shared" si="75"/>
        <v>6.3599485173228304E-2</v>
      </c>
      <c r="F216" s="276">
        <v>60</v>
      </c>
      <c r="G216" s="276">
        <f t="shared" si="94"/>
        <v>0.27600000000000002</v>
      </c>
      <c r="H216" s="276">
        <f t="shared" si="95"/>
        <v>1.9320000000000002</v>
      </c>
      <c r="I216" s="276">
        <f t="shared" si="91"/>
        <v>4.2</v>
      </c>
      <c r="J216" s="276">
        <v>7</v>
      </c>
      <c r="K216" s="293"/>
      <c r="L216" s="180"/>
      <c r="M216" s="180"/>
      <c r="N216" s="178"/>
      <c r="O216" s="180"/>
      <c r="P216" s="180"/>
      <c r="Q216" s="180"/>
      <c r="R216" s="180"/>
      <c r="S216" s="179"/>
      <c r="T216" s="179"/>
      <c r="U216" s="179"/>
      <c r="V216" s="179"/>
      <c r="W216" s="179"/>
      <c r="X216" s="179"/>
      <c r="Y216" s="179"/>
      <c r="Z216" s="179"/>
      <c r="AA216" s="179"/>
      <c r="AB216" s="179"/>
      <c r="AC216" s="179"/>
      <c r="AD216" s="179"/>
      <c r="AE216" s="179"/>
      <c r="AF216" s="179"/>
      <c r="AG216" s="179"/>
      <c r="AH216" s="179"/>
      <c r="AI216" s="179"/>
      <c r="AJ216" s="179"/>
      <c r="AK216" s="191"/>
      <c r="AL216" s="191"/>
      <c r="AM216" s="191"/>
    </row>
    <row r="217" spans="1:39" hidden="1" x14ac:dyDescent="0.25">
      <c r="A217" s="274"/>
      <c r="B217" s="278"/>
      <c r="C217" s="274" t="s">
        <v>516</v>
      </c>
      <c r="D217" s="276">
        <v>1.35</v>
      </c>
      <c r="E217" s="279">
        <f t="shared" si="75"/>
        <v>0.18665066300838742</v>
      </c>
      <c r="F217" s="276">
        <v>60</v>
      </c>
      <c r="G217" s="276">
        <f t="shared" si="89"/>
        <v>0.81</v>
      </c>
      <c r="H217" s="276">
        <f>+G217*J217</f>
        <v>5.67</v>
      </c>
      <c r="I217" s="276">
        <f t="shared" si="91"/>
        <v>4.1999999999999993</v>
      </c>
      <c r="J217" s="276">
        <v>7</v>
      </c>
      <c r="K217" s="296"/>
      <c r="L217" s="158"/>
    </row>
    <row r="218" spans="1:39" hidden="1" x14ac:dyDescent="0.25">
      <c r="A218" s="274"/>
      <c r="B218" s="278"/>
      <c r="C218" s="274" t="s">
        <v>514</v>
      </c>
      <c r="D218" s="276">
        <v>0.41</v>
      </c>
      <c r="E218" s="279">
        <f t="shared" si="75"/>
        <v>5.6686497654399134E-2</v>
      </c>
      <c r="F218" s="276">
        <v>60</v>
      </c>
      <c r="G218" s="276">
        <f t="shared" si="89"/>
        <v>0.24599999999999997</v>
      </c>
      <c r="H218" s="276">
        <f t="shared" ref="H218:H242" si="98">+G218*J218</f>
        <v>1.7219999999999998</v>
      </c>
      <c r="I218" s="276">
        <f t="shared" si="91"/>
        <v>4.1999999999999993</v>
      </c>
      <c r="J218" s="276">
        <v>7</v>
      </c>
      <c r="K218" s="296"/>
      <c r="L218" s="158"/>
    </row>
    <row r="219" spans="1:39" hidden="1" x14ac:dyDescent="0.25">
      <c r="A219" s="274"/>
      <c r="B219" s="278"/>
      <c r="C219" s="274" t="s">
        <v>512</v>
      </c>
      <c r="D219" s="276">
        <v>0.28000000000000003</v>
      </c>
      <c r="E219" s="279">
        <f t="shared" ref="E219:E290" si="99">+D219/$D$3*100</f>
        <v>3.8712730105443321E-2</v>
      </c>
      <c r="F219" s="276">
        <v>60</v>
      </c>
      <c r="G219" s="276">
        <f t="shared" si="89"/>
        <v>0.16800000000000001</v>
      </c>
      <c r="H219" s="276">
        <f t="shared" si="98"/>
        <v>1.1760000000000002</v>
      </c>
      <c r="I219" s="276">
        <f t="shared" si="91"/>
        <v>4.2</v>
      </c>
      <c r="J219" s="276">
        <v>7</v>
      </c>
      <c r="K219" s="296"/>
      <c r="L219" s="158"/>
    </row>
    <row r="220" spans="1:39" hidden="1" x14ac:dyDescent="0.25">
      <c r="A220" s="274"/>
      <c r="B220" s="278"/>
      <c r="C220" s="274" t="s">
        <v>500</v>
      </c>
      <c r="D220" s="276">
        <v>2.06</v>
      </c>
      <c r="E220" s="279">
        <f t="shared" si="99"/>
        <v>0.28481508577576153</v>
      </c>
      <c r="F220" s="276">
        <v>60</v>
      </c>
      <c r="G220" s="276">
        <f t="shared" si="89"/>
        <v>1.236</v>
      </c>
      <c r="H220" s="276">
        <f t="shared" si="98"/>
        <v>8.6519999999999992</v>
      </c>
      <c r="I220" s="276">
        <f t="shared" si="91"/>
        <v>4.1999999999999993</v>
      </c>
      <c r="J220" s="276">
        <v>7</v>
      </c>
      <c r="K220" s="296"/>
      <c r="L220" s="158"/>
    </row>
    <row r="221" spans="1:39" hidden="1" x14ac:dyDescent="0.25">
      <c r="A221" s="274"/>
      <c r="B221" s="278"/>
      <c r="C221" s="274" t="s">
        <v>498</v>
      </c>
      <c r="D221" s="276">
        <v>0.15</v>
      </c>
      <c r="E221" s="279">
        <f t="shared" si="99"/>
        <v>2.0738962556487491E-2</v>
      </c>
      <c r="F221" s="276">
        <v>60</v>
      </c>
      <c r="G221" s="276">
        <f t="shared" si="89"/>
        <v>0.09</v>
      </c>
      <c r="H221" s="276">
        <f t="shared" si="98"/>
        <v>0.63</v>
      </c>
      <c r="I221" s="276">
        <f t="shared" si="91"/>
        <v>4.2</v>
      </c>
      <c r="J221" s="276">
        <v>7</v>
      </c>
      <c r="K221" s="296"/>
      <c r="L221" s="158"/>
    </row>
    <row r="222" spans="1:39" hidden="1" x14ac:dyDescent="0.25">
      <c r="A222" s="274"/>
      <c r="B222" s="278"/>
      <c r="C222" s="274" t="s">
        <v>502</v>
      </c>
      <c r="D222" s="276">
        <v>0.41</v>
      </c>
      <c r="E222" s="279">
        <f t="shared" si="99"/>
        <v>5.6686497654399134E-2</v>
      </c>
      <c r="F222" s="276">
        <v>60</v>
      </c>
      <c r="G222" s="276">
        <f t="shared" si="89"/>
        <v>0.24599999999999997</v>
      </c>
      <c r="H222" s="276">
        <f t="shared" si="98"/>
        <v>1.7219999999999998</v>
      </c>
      <c r="I222" s="276">
        <f t="shared" si="91"/>
        <v>4.1999999999999993</v>
      </c>
      <c r="J222" s="276">
        <v>7</v>
      </c>
      <c r="K222" s="296"/>
      <c r="L222" s="158"/>
    </row>
    <row r="223" spans="1:39" hidden="1" x14ac:dyDescent="0.25">
      <c r="A223" s="274"/>
      <c r="B223" s="278"/>
      <c r="C223" s="274" t="s">
        <v>510</v>
      </c>
      <c r="D223" s="276">
        <v>7.56</v>
      </c>
      <c r="E223" s="279">
        <f t="shared" si="99"/>
        <v>1.0452437128469696</v>
      </c>
      <c r="F223" s="276">
        <v>60</v>
      </c>
      <c r="G223" s="276">
        <f t="shared" si="89"/>
        <v>4.5359999999999996</v>
      </c>
      <c r="H223" s="276">
        <f t="shared" si="98"/>
        <v>31.751999999999995</v>
      </c>
      <c r="I223" s="276">
        <f t="shared" si="91"/>
        <v>4.1999999999999993</v>
      </c>
      <c r="J223" s="276">
        <v>7</v>
      </c>
      <c r="K223" s="296"/>
      <c r="L223" s="158"/>
    </row>
    <row r="224" spans="1:39" hidden="1" x14ac:dyDescent="0.25">
      <c r="A224" s="274"/>
      <c r="B224" s="278"/>
      <c r="C224" s="274" t="s">
        <v>508</v>
      </c>
      <c r="D224" s="276">
        <v>4.53</v>
      </c>
      <c r="E224" s="279">
        <f t="shared" si="99"/>
        <v>0.62631666920592222</v>
      </c>
      <c r="F224" s="276">
        <v>60</v>
      </c>
      <c r="G224" s="276">
        <f t="shared" si="89"/>
        <v>2.718</v>
      </c>
      <c r="H224" s="276">
        <f t="shared" si="98"/>
        <v>19.026</v>
      </c>
      <c r="I224" s="276">
        <f t="shared" si="91"/>
        <v>4.1999999999999993</v>
      </c>
      <c r="J224" s="276">
        <v>7</v>
      </c>
      <c r="K224" s="296"/>
      <c r="L224" s="158"/>
    </row>
    <row r="225" spans="1:12" hidden="1" x14ac:dyDescent="0.25">
      <c r="A225" s="274"/>
      <c r="B225" s="278"/>
      <c r="C225" s="274" t="s">
        <v>504</v>
      </c>
      <c r="D225" s="276">
        <v>2.56</v>
      </c>
      <c r="E225" s="279">
        <f t="shared" si="99"/>
        <v>0.35394496096405315</v>
      </c>
      <c r="F225" s="276">
        <v>60</v>
      </c>
      <c r="G225" s="276">
        <f t="shared" si="89"/>
        <v>1.536</v>
      </c>
      <c r="H225" s="276">
        <f t="shared" si="98"/>
        <v>10.752000000000001</v>
      </c>
      <c r="I225" s="276">
        <f t="shared" si="91"/>
        <v>4.2</v>
      </c>
      <c r="J225" s="276">
        <v>7</v>
      </c>
      <c r="K225" s="296"/>
      <c r="L225" s="158"/>
    </row>
    <row r="226" spans="1:12" hidden="1" x14ac:dyDescent="0.25">
      <c r="A226" s="274"/>
      <c r="B226" s="278"/>
      <c r="C226" s="274" t="s">
        <v>506</v>
      </c>
      <c r="D226" s="276">
        <v>3.79</v>
      </c>
      <c r="E226" s="279">
        <f t="shared" si="99"/>
        <v>0.52400445392725059</v>
      </c>
      <c r="F226" s="276">
        <v>60</v>
      </c>
      <c r="G226" s="276">
        <f t="shared" si="89"/>
        <v>2.274</v>
      </c>
      <c r="H226" s="276">
        <f t="shared" si="98"/>
        <v>15.917999999999999</v>
      </c>
      <c r="I226" s="276">
        <f t="shared" si="91"/>
        <v>4.2</v>
      </c>
      <c r="J226" s="276">
        <v>7</v>
      </c>
      <c r="K226" s="296"/>
      <c r="L226" s="158"/>
    </row>
    <row r="227" spans="1:12" hidden="1" x14ac:dyDescent="0.25">
      <c r="A227" s="274"/>
      <c r="B227" s="278"/>
      <c r="C227" s="274" t="s">
        <v>494</v>
      </c>
      <c r="D227" s="276">
        <v>0.91</v>
      </c>
      <c r="E227" s="279">
        <f t="shared" si="99"/>
        <v>0.12581637284269079</v>
      </c>
      <c r="F227" s="276">
        <v>60</v>
      </c>
      <c r="G227" s="276">
        <f t="shared" si="89"/>
        <v>0.54600000000000004</v>
      </c>
      <c r="H227" s="276">
        <f t="shared" si="98"/>
        <v>3.8220000000000001</v>
      </c>
      <c r="I227" s="276">
        <f t="shared" si="91"/>
        <v>4.2</v>
      </c>
      <c r="J227" s="276">
        <v>7</v>
      </c>
      <c r="K227" s="296"/>
      <c r="L227" s="158"/>
    </row>
    <row r="228" spans="1:12" hidden="1" x14ac:dyDescent="0.25">
      <c r="A228" s="274"/>
      <c r="B228" s="278"/>
      <c r="C228" s="274" t="s">
        <v>490</v>
      </c>
      <c r="D228" s="276">
        <v>1.1200000000000001</v>
      </c>
      <c r="E228" s="279">
        <f t="shared" si="99"/>
        <v>0.15485092042177329</v>
      </c>
      <c r="F228" s="276">
        <v>60</v>
      </c>
      <c r="G228" s="276">
        <f t="shared" ref="G228" si="100">+D228*F228/100</f>
        <v>0.67200000000000004</v>
      </c>
      <c r="H228" s="276">
        <f t="shared" ref="H228" si="101">+G228*J228</f>
        <v>4.7040000000000006</v>
      </c>
      <c r="I228" s="276">
        <f t="shared" si="91"/>
        <v>4.2</v>
      </c>
      <c r="J228" s="276">
        <v>7</v>
      </c>
      <c r="K228" s="296"/>
      <c r="L228" s="158"/>
    </row>
    <row r="229" spans="1:12" hidden="1" x14ac:dyDescent="0.25">
      <c r="A229" s="274"/>
      <c r="B229" s="278"/>
      <c r="C229" s="274" t="s">
        <v>492</v>
      </c>
      <c r="D229" s="276">
        <v>1.27</v>
      </c>
      <c r="E229" s="279">
        <f t="shared" si="99"/>
        <v>0.17558988297826075</v>
      </c>
      <c r="F229" s="276">
        <v>60</v>
      </c>
      <c r="G229" s="276">
        <f t="shared" si="89"/>
        <v>0.76200000000000001</v>
      </c>
      <c r="H229" s="276">
        <f t="shared" si="98"/>
        <v>5.3339999999999996</v>
      </c>
      <c r="I229" s="276">
        <f t="shared" si="91"/>
        <v>4.1999999999999993</v>
      </c>
      <c r="J229" s="276">
        <v>7</v>
      </c>
      <c r="K229" s="296"/>
      <c r="L229" s="158"/>
    </row>
    <row r="230" spans="1:12" hidden="1" x14ac:dyDescent="0.25">
      <c r="A230" s="274"/>
      <c r="B230" s="278"/>
      <c r="C230" s="274" t="s">
        <v>496</v>
      </c>
      <c r="D230" s="276">
        <v>2.39</v>
      </c>
      <c r="E230" s="279">
        <f t="shared" si="99"/>
        <v>0.33044080340003401</v>
      </c>
      <c r="F230" s="276">
        <v>60</v>
      </c>
      <c r="G230" s="276">
        <f t="shared" si="89"/>
        <v>1.4340000000000002</v>
      </c>
      <c r="H230" s="276">
        <f t="shared" si="98"/>
        <v>10.038</v>
      </c>
      <c r="I230" s="276">
        <f t="shared" si="91"/>
        <v>4.2</v>
      </c>
      <c r="J230" s="276">
        <v>7</v>
      </c>
      <c r="K230" s="296"/>
      <c r="L230" s="158"/>
    </row>
    <row r="231" spans="1:12" hidden="1" x14ac:dyDescent="0.25">
      <c r="A231" s="274"/>
      <c r="B231" s="278"/>
      <c r="C231" s="274" t="s">
        <v>470</v>
      </c>
      <c r="D231" s="276">
        <v>11.87</v>
      </c>
      <c r="E231" s="279">
        <f t="shared" si="99"/>
        <v>1.6411432369700434</v>
      </c>
      <c r="F231" s="276">
        <v>60</v>
      </c>
      <c r="G231" s="276">
        <f t="shared" si="89"/>
        <v>7.121999999999999</v>
      </c>
      <c r="H231" s="276">
        <f t="shared" si="98"/>
        <v>49.853999999999992</v>
      </c>
      <c r="I231" s="276">
        <f t="shared" si="91"/>
        <v>4.1999999999999993</v>
      </c>
      <c r="J231" s="276">
        <v>7</v>
      </c>
      <c r="K231" s="296"/>
      <c r="L231" s="158"/>
    </row>
    <row r="232" spans="1:12" hidden="1" x14ac:dyDescent="0.25">
      <c r="A232" s="274"/>
      <c r="B232" s="278"/>
      <c r="C232" s="274" t="s">
        <v>488</v>
      </c>
      <c r="D232" s="276">
        <v>0.187</v>
      </c>
      <c r="E232" s="279">
        <f t="shared" si="99"/>
        <v>2.5854573320421074E-2</v>
      </c>
      <c r="F232" s="276">
        <v>60</v>
      </c>
      <c r="G232" s="276">
        <f t="shared" si="89"/>
        <v>0.11220000000000001</v>
      </c>
      <c r="H232" s="276">
        <f t="shared" si="98"/>
        <v>0.7854000000000001</v>
      </c>
      <c r="I232" s="276">
        <f t="shared" si="91"/>
        <v>4.2</v>
      </c>
      <c r="J232" s="276">
        <v>7</v>
      </c>
      <c r="K232" s="296"/>
      <c r="L232" s="158"/>
    </row>
    <row r="233" spans="1:12" hidden="1" x14ac:dyDescent="0.25">
      <c r="A233" s="274"/>
      <c r="B233" s="278"/>
      <c r="C233" s="274" t="s">
        <v>486</v>
      </c>
      <c r="D233" s="276">
        <v>0.86</v>
      </c>
      <c r="E233" s="279">
        <f t="shared" si="99"/>
        <v>0.1189033853238616</v>
      </c>
      <c r="F233" s="276">
        <v>60</v>
      </c>
      <c r="G233" s="276">
        <f t="shared" si="89"/>
        <v>0.51600000000000001</v>
      </c>
      <c r="H233" s="276">
        <f t="shared" si="98"/>
        <v>3.6120000000000001</v>
      </c>
      <c r="I233" s="276">
        <f t="shared" si="91"/>
        <v>4.2</v>
      </c>
      <c r="J233" s="276">
        <v>7</v>
      </c>
      <c r="K233" s="296"/>
      <c r="L233" s="158"/>
    </row>
    <row r="234" spans="1:12" hidden="1" x14ac:dyDescent="0.25">
      <c r="A234" s="274"/>
      <c r="B234" s="278"/>
      <c r="C234" s="274" t="s">
        <v>484</v>
      </c>
      <c r="D234" s="276">
        <v>8.17</v>
      </c>
      <c r="E234" s="279">
        <f t="shared" si="99"/>
        <v>1.1295821605766854</v>
      </c>
      <c r="F234" s="276">
        <v>60</v>
      </c>
      <c r="G234" s="276">
        <f t="shared" si="89"/>
        <v>4.9020000000000001</v>
      </c>
      <c r="H234" s="276">
        <f t="shared" si="98"/>
        <v>34.314</v>
      </c>
      <c r="I234" s="276">
        <f t="shared" si="91"/>
        <v>4.2</v>
      </c>
      <c r="J234" s="276">
        <v>7</v>
      </c>
      <c r="K234" s="296"/>
      <c r="L234" s="158"/>
    </row>
    <row r="235" spans="1:12" hidden="1" x14ac:dyDescent="0.25">
      <c r="A235" s="274"/>
      <c r="B235" s="278"/>
      <c r="C235" s="274" t="s">
        <v>482</v>
      </c>
      <c r="D235" s="276">
        <v>7.94</v>
      </c>
      <c r="E235" s="279">
        <f t="shared" si="99"/>
        <v>1.097782417990071</v>
      </c>
      <c r="F235" s="276">
        <v>60</v>
      </c>
      <c r="G235" s="276">
        <f t="shared" si="89"/>
        <v>4.7640000000000002</v>
      </c>
      <c r="H235" s="276">
        <f t="shared" si="98"/>
        <v>33.347999999999999</v>
      </c>
      <c r="I235" s="276">
        <f t="shared" si="91"/>
        <v>4.1999999999999993</v>
      </c>
      <c r="J235" s="276">
        <v>7</v>
      </c>
      <c r="K235" s="296"/>
      <c r="L235" s="158"/>
    </row>
    <row r="236" spans="1:12" hidden="1" x14ac:dyDescent="0.25">
      <c r="A236" s="274"/>
      <c r="B236" s="278"/>
      <c r="C236" s="274" t="s">
        <v>480</v>
      </c>
      <c r="D236" s="276">
        <v>4.4800000000000004</v>
      </c>
      <c r="E236" s="279">
        <f t="shared" si="99"/>
        <v>0.61940368168709314</v>
      </c>
      <c r="F236" s="276">
        <v>60</v>
      </c>
      <c r="G236" s="276">
        <f t="shared" si="89"/>
        <v>2.6880000000000002</v>
      </c>
      <c r="H236" s="276">
        <f t="shared" si="98"/>
        <v>18.816000000000003</v>
      </c>
      <c r="I236" s="276">
        <f t="shared" si="91"/>
        <v>4.2</v>
      </c>
      <c r="J236" s="276">
        <v>7</v>
      </c>
      <c r="K236" s="296"/>
      <c r="L236" s="158"/>
    </row>
    <row r="237" spans="1:12" hidden="1" x14ac:dyDescent="0.25">
      <c r="A237" s="274"/>
      <c r="B237" s="278"/>
      <c r="C237" s="274" t="s">
        <v>478</v>
      </c>
      <c r="D237" s="276">
        <v>1.81</v>
      </c>
      <c r="E237" s="279">
        <f t="shared" si="99"/>
        <v>0.25025014818161573</v>
      </c>
      <c r="F237" s="276">
        <v>60</v>
      </c>
      <c r="G237" s="276">
        <f t="shared" si="89"/>
        <v>1.0860000000000001</v>
      </c>
      <c r="H237" s="276">
        <f t="shared" si="98"/>
        <v>7.6020000000000003</v>
      </c>
      <c r="I237" s="276">
        <f t="shared" si="91"/>
        <v>4.2</v>
      </c>
      <c r="J237" s="276">
        <v>7</v>
      </c>
      <c r="K237" s="296"/>
      <c r="L237" s="158"/>
    </row>
    <row r="238" spans="1:12" hidden="1" x14ac:dyDescent="0.25">
      <c r="A238" s="274"/>
      <c r="B238" s="278"/>
      <c r="C238" s="274" t="s">
        <v>476</v>
      </c>
      <c r="D238" s="276">
        <v>1.25</v>
      </c>
      <c r="E238" s="279">
        <f t="shared" si="99"/>
        <v>0.17282468797072909</v>
      </c>
      <c r="F238" s="276">
        <v>60</v>
      </c>
      <c r="G238" s="276">
        <f t="shared" si="89"/>
        <v>0.75</v>
      </c>
      <c r="H238" s="276">
        <f t="shared" si="98"/>
        <v>5.25</v>
      </c>
      <c r="I238" s="276">
        <f t="shared" si="91"/>
        <v>4.2</v>
      </c>
      <c r="J238" s="276">
        <v>7</v>
      </c>
      <c r="K238" s="296"/>
      <c r="L238" s="158"/>
    </row>
    <row r="239" spans="1:12" hidden="1" x14ac:dyDescent="0.25">
      <c r="A239" s="274"/>
      <c r="B239" s="278"/>
      <c r="C239" s="274" t="s">
        <v>474</v>
      </c>
      <c r="D239" s="276">
        <v>1.64</v>
      </c>
      <c r="E239" s="279">
        <f t="shared" si="99"/>
        <v>0.22674599061759654</v>
      </c>
      <c r="F239" s="276">
        <v>60</v>
      </c>
      <c r="G239" s="276">
        <f t="shared" si="89"/>
        <v>0.98399999999999987</v>
      </c>
      <c r="H239" s="276">
        <f t="shared" si="98"/>
        <v>6.887999999999999</v>
      </c>
      <c r="I239" s="276">
        <f t="shared" si="91"/>
        <v>4.1999999999999993</v>
      </c>
      <c r="J239" s="276">
        <v>7</v>
      </c>
      <c r="K239" s="296"/>
      <c r="L239" s="158"/>
    </row>
    <row r="240" spans="1:12" hidden="1" x14ac:dyDescent="0.25">
      <c r="A240" s="274"/>
      <c r="B240" s="278"/>
      <c r="C240" s="274" t="s">
        <v>472</v>
      </c>
      <c r="D240" s="276">
        <v>0.57999999999999996</v>
      </c>
      <c r="E240" s="279">
        <f t="shared" si="99"/>
        <v>8.0190655218418283E-2</v>
      </c>
      <c r="F240" s="276">
        <v>60</v>
      </c>
      <c r="G240" s="276">
        <f t="shared" si="89"/>
        <v>0.34799999999999998</v>
      </c>
      <c r="H240" s="276">
        <f t="shared" si="98"/>
        <v>2.4359999999999999</v>
      </c>
      <c r="I240" s="276">
        <f t="shared" si="91"/>
        <v>4.2</v>
      </c>
      <c r="J240" s="276">
        <v>7</v>
      </c>
      <c r="K240" s="296"/>
      <c r="L240" s="158"/>
    </row>
    <row r="241" spans="1:39" hidden="1" x14ac:dyDescent="0.25">
      <c r="A241" s="274"/>
      <c r="B241" s="278"/>
      <c r="C241" s="274" t="s">
        <v>598</v>
      </c>
      <c r="D241" s="276">
        <v>0.18</v>
      </c>
      <c r="E241" s="279">
        <f t="shared" si="99"/>
        <v>2.4886755067784989E-2</v>
      </c>
      <c r="F241" s="276">
        <v>60</v>
      </c>
      <c r="G241" s="276">
        <f t="shared" si="89"/>
        <v>0.10799999999999998</v>
      </c>
      <c r="H241" s="276">
        <f t="shared" si="98"/>
        <v>0.75599999999999989</v>
      </c>
      <c r="I241" s="276">
        <f t="shared" si="91"/>
        <v>4.1999999999999993</v>
      </c>
      <c r="J241" s="276">
        <v>7</v>
      </c>
      <c r="K241" s="296"/>
      <c r="L241" s="158"/>
    </row>
    <row r="242" spans="1:39" hidden="1" x14ac:dyDescent="0.25">
      <c r="A242" s="274"/>
      <c r="B242" s="278"/>
      <c r="C242" s="274" t="s">
        <v>695</v>
      </c>
      <c r="D242" s="276">
        <v>1.93</v>
      </c>
      <c r="E242" s="279">
        <f t="shared" si="99"/>
        <v>0.26684131822680573</v>
      </c>
      <c r="F242" s="276">
        <v>60</v>
      </c>
      <c r="G242" s="276">
        <f t="shared" si="89"/>
        <v>1.1579999999999999</v>
      </c>
      <c r="H242" s="276">
        <f t="shared" si="98"/>
        <v>8.1059999999999999</v>
      </c>
      <c r="I242" s="276">
        <f t="shared" si="91"/>
        <v>4.2</v>
      </c>
      <c r="J242" s="276">
        <v>7</v>
      </c>
      <c r="K242" s="296"/>
      <c r="L242" s="158"/>
    </row>
    <row r="243" spans="1:39" hidden="1" x14ac:dyDescent="0.25">
      <c r="A243" s="274"/>
      <c r="B243" s="278"/>
      <c r="C243" s="274" t="s">
        <v>722</v>
      </c>
      <c r="D243" s="276">
        <v>0.5</v>
      </c>
      <c r="E243" s="279">
        <f t="shared" si="99"/>
        <v>6.9129875188291626E-2</v>
      </c>
      <c r="F243" s="276">
        <v>60</v>
      </c>
      <c r="G243" s="276">
        <f t="shared" ref="G243:G244" si="102">+D243*F243/100</f>
        <v>0.3</v>
      </c>
      <c r="H243" s="276">
        <f t="shared" ref="H243:H244" si="103">+G243*J243</f>
        <v>2.1</v>
      </c>
      <c r="I243" s="276">
        <f t="shared" si="91"/>
        <v>4.2</v>
      </c>
      <c r="J243" s="276">
        <v>7</v>
      </c>
      <c r="K243" s="296"/>
      <c r="L243" s="158"/>
    </row>
    <row r="244" spans="1:39" hidden="1" x14ac:dyDescent="0.25">
      <c r="A244" s="274"/>
      <c r="B244" s="278"/>
      <c r="C244" s="274" t="s">
        <v>723</v>
      </c>
      <c r="D244" s="276">
        <v>1.47</v>
      </c>
      <c r="E244" s="279">
        <f t="shared" ref="E244:E245" si="104">+D244/$D$3*100</f>
        <v>0.2032418330535774</v>
      </c>
      <c r="F244" s="276">
        <v>60</v>
      </c>
      <c r="G244" s="276">
        <f t="shared" si="102"/>
        <v>0.88200000000000001</v>
      </c>
      <c r="H244" s="276">
        <f t="shared" si="103"/>
        <v>6.1740000000000004</v>
      </c>
      <c r="I244" s="276">
        <f t="shared" si="91"/>
        <v>4.2</v>
      </c>
      <c r="J244" s="276">
        <v>7</v>
      </c>
      <c r="K244" s="296"/>
      <c r="L244" s="158"/>
    </row>
    <row r="245" spans="1:39" hidden="1" x14ac:dyDescent="0.25">
      <c r="A245" s="274"/>
      <c r="B245" s="278"/>
      <c r="C245" s="274" t="s">
        <v>756</v>
      </c>
      <c r="D245" s="276">
        <v>0.16</v>
      </c>
      <c r="E245" s="279">
        <f t="shared" si="104"/>
        <v>2.2121560060253322E-2</v>
      </c>
      <c r="F245" s="276">
        <v>60</v>
      </c>
      <c r="G245" s="276">
        <f t="shared" ref="G245" si="105">+D245*F245/100</f>
        <v>9.6000000000000002E-2</v>
      </c>
      <c r="H245" s="276">
        <f t="shared" ref="H245" si="106">+G245*J245</f>
        <v>0.67200000000000004</v>
      </c>
      <c r="I245" s="276">
        <f t="shared" si="91"/>
        <v>4.2</v>
      </c>
      <c r="J245" s="276">
        <v>7</v>
      </c>
      <c r="K245" s="296"/>
      <c r="L245" s="158"/>
    </row>
    <row r="246" spans="1:39" s="54" customFormat="1" ht="13.9" customHeight="1" x14ac:dyDescent="0.25">
      <c r="A246" s="269">
        <v>1.3</v>
      </c>
      <c r="B246" s="270" t="s">
        <v>119</v>
      </c>
      <c r="C246" s="269"/>
      <c r="D246" s="271">
        <f>+SUM(D247:D249)</f>
        <v>8.0004999999999988</v>
      </c>
      <c r="E246" s="292">
        <f>+D246/$D$3*100</f>
        <v>1.1061471328878543</v>
      </c>
      <c r="F246" s="271">
        <v>5</v>
      </c>
      <c r="G246" s="271">
        <f t="shared" ref="G246:G249" si="107">+D246*F246/100</f>
        <v>0.40002499999999996</v>
      </c>
      <c r="H246" s="271">
        <f t="shared" ref="H246:H249" si="108">+G246*J246</f>
        <v>0.40002499999999996</v>
      </c>
      <c r="I246" s="271">
        <f t="shared" si="91"/>
        <v>0.05</v>
      </c>
      <c r="J246" s="271">
        <v>1</v>
      </c>
      <c r="K246" s="293"/>
      <c r="L246" s="180"/>
      <c r="M246" s="180"/>
      <c r="N246" s="178"/>
      <c r="O246" s="180"/>
      <c r="P246" s="180"/>
      <c r="Q246" s="180"/>
      <c r="R246" s="180"/>
      <c r="S246" s="179"/>
      <c r="T246" s="179"/>
      <c r="U246" s="179"/>
      <c r="V246" s="179"/>
      <c r="W246" s="179"/>
      <c r="X246" s="179"/>
      <c r="Y246" s="179"/>
      <c r="Z246" s="179"/>
      <c r="AA246" s="179"/>
      <c r="AB246" s="179"/>
      <c r="AC246" s="179"/>
      <c r="AD246" s="179"/>
      <c r="AE246" s="179"/>
      <c r="AF246" s="179"/>
      <c r="AG246" s="179"/>
      <c r="AH246" s="179"/>
      <c r="AI246" s="179"/>
      <c r="AJ246" s="179"/>
      <c r="AK246" s="191"/>
      <c r="AL246" s="191"/>
      <c r="AM246" s="191"/>
    </row>
    <row r="247" spans="1:39" hidden="1" x14ac:dyDescent="0.25">
      <c r="A247" s="274"/>
      <c r="B247" s="278"/>
      <c r="C247" s="274" t="s">
        <v>196</v>
      </c>
      <c r="D247" s="276">
        <v>3.7555999999999998</v>
      </c>
      <c r="E247" s="279">
        <f>+D247/$D$3*100</f>
        <v>0.51924831851429609</v>
      </c>
      <c r="F247" s="276">
        <v>5</v>
      </c>
      <c r="G247" s="276">
        <f t="shared" si="107"/>
        <v>0.18777999999999997</v>
      </c>
      <c r="H247" s="276">
        <f t="shared" si="108"/>
        <v>0.18777999999999997</v>
      </c>
      <c r="I247" s="276">
        <f t="shared" si="91"/>
        <v>4.9999999999999996E-2</v>
      </c>
      <c r="J247" s="276">
        <v>1</v>
      </c>
      <c r="K247" s="296"/>
      <c r="L247" s="158"/>
    </row>
    <row r="248" spans="1:39" hidden="1" x14ac:dyDescent="0.25">
      <c r="A248" s="274"/>
      <c r="B248" s="278"/>
      <c r="C248" s="274" t="s">
        <v>194</v>
      </c>
      <c r="D248" s="276">
        <v>3.9918999999999998</v>
      </c>
      <c r="E248" s="279">
        <f>+D248/$D$3*100</f>
        <v>0.55191909752828272</v>
      </c>
      <c r="F248" s="276">
        <v>5</v>
      </c>
      <c r="G248" s="276">
        <f t="shared" si="107"/>
        <v>0.19959499999999999</v>
      </c>
      <c r="H248" s="276">
        <f t="shared" si="108"/>
        <v>0.19959499999999999</v>
      </c>
      <c r="I248" s="276">
        <f t="shared" si="91"/>
        <v>0.05</v>
      </c>
      <c r="J248" s="276">
        <v>1</v>
      </c>
      <c r="K248" s="296"/>
      <c r="L248" s="158"/>
    </row>
    <row r="249" spans="1:39" hidden="1" x14ac:dyDescent="0.25">
      <c r="A249" s="274"/>
      <c r="B249" s="278"/>
      <c r="C249" s="274" t="s">
        <v>192</v>
      </c>
      <c r="D249" s="276">
        <v>0.253</v>
      </c>
      <c r="E249" s="279">
        <f>+D249/$D$3*100</f>
        <v>3.4979716845275566E-2</v>
      </c>
      <c r="F249" s="276">
        <v>5</v>
      </c>
      <c r="G249" s="276">
        <f t="shared" si="107"/>
        <v>1.2650000000000002E-2</v>
      </c>
      <c r="H249" s="276">
        <f t="shared" si="108"/>
        <v>1.2650000000000002E-2</v>
      </c>
      <c r="I249" s="276">
        <f t="shared" si="91"/>
        <v>0.05</v>
      </c>
      <c r="J249" s="276">
        <v>1</v>
      </c>
      <c r="K249" s="296"/>
      <c r="L249" s="158"/>
    </row>
    <row r="250" spans="1:39" s="54" customFormat="1" x14ac:dyDescent="0.25">
      <c r="A250" s="269">
        <v>1.4</v>
      </c>
      <c r="B250" s="270" t="s">
        <v>118</v>
      </c>
      <c r="C250" s="269"/>
      <c r="D250" s="271">
        <f>+SUM(D251:D255)</f>
        <v>1.8431000000000002</v>
      </c>
      <c r="E250" s="292">
        <f t="shared" si="99"/>
        <v>0.25482654591908066</v>
      </c>
      <c r="F250" s="271">
        <v>40</v>
      </c>
      <c r="G250" s="271">
        <f t="shared" si="89"/>
        <v>0.73724000000000001</v>
      </c>
      <c r="H250" s="271">
        <f t="shared" ref="H250" si="109">+G250*J250</f>
        <v>2.2117200000000001</v>
      </c>
      <c r="I250" s="271">
        <f t="shared" si="91"/>
        <v>1.2</v>
      </c>
      <c r="J250" s="271">
        <v>3</v>
      </c>
      <c r="K250" s="293"/>
      <c r="L250" s="180"/>
      <c r="M250" s="180"/>
      <c r="N250" s="178"/>
      <c r="O250" s="180"/>
      <c r="P250" s="180"/>
      <c r="Q250" s="180"/>
      <c r="R250" s="180"/>
      <c r="S250" s="179"/>
      <c r="T250" s="179"/>
      <c r="U250" s="179"/>
      <c r="V250" s="179"/>
      <c r="W250" s="179"/>
      <c r="X250" s="179"/>
      <c r="Y250" s="179"/>
      <c r="Z250" s="179"/>
      <c r="AA250" s="179"/>
      <c r="AB250" s="179"/>
      <c r="AC250" s="179"/>
      <c r="AD250" s="179"/>
      <c r="AE250" s="179"/>
      <c r="AF250" s="179"/>
      <c r="AG250" s="179"/>
      <c r="AH250" s="179"/>
      <c r="AI250" s="179"/>
      <c r="AJ250" s="179"/>
      <c r="AK250" s="191"/>
      <c r="AL250" s="191"/>
      <c r="AM250" s="191"/>
    </row>
    <row r="251" spans="1:39" s="54" customFormat="1" hidden="1" x14ac:dyDescent="0.25">
      <c r="A251" s="269"/>
      <c r="B251" s="278" t="s">
        <v>93</v>
      </c>
      <c r="C251" s="274" t="s">
        <v>170</v>
      </c>
      <c r="D251" s="276">
        <v>0.1</v>
      </c>
      <c r="E251" s="279">
        <f t="shared" ref="E251" si="110">+D251/$D$3*100</f>
        <v>1.3825975037658327E-2</v>
      </c>
      <c r="F251" s="276">
        <v>40</v>
      </c>
      <c r="G251" s="276">
        <f>+D251*F251/100</f>
        <v>0.04</v>
      </c>
      <c r="H251" s="276">
        <f>+G251*J251</f>
        <v>0.12</v>
      </c>
      <c r="I251" s="276">
        <f t="shared" si="91"/>
        <v>1.2</v>
      </c>
      <c r="J251" s="276">
        <v>3</v>
      </c>
      <c r="K251" s="293"/>
      <c r="L251" s="180"/>
      <c r="M251" s="180"/>
      <c r="N251" s="178"/>
      <c r="O251" s="180"/>
      <c r="P251" s="180"/>
      <c r="Q251" s="180"/>
      <c r="R251" s="180"/>
      <c r="S251" s="179"/>
      <c r="T251" s="179"/>
      <c r="U251" s="179"/>
      <c r="V251" s="179"/>
      <c r="W251" s="179"/>
      <c r="X251" s="179"/>
      <c r="Y251" s="179"/>
      <c r="Z251" s="179"/>
      <c r="AA251" s="179"/>
      <c r="AB251" s="179"/>
      <c r="AC251" s="179"/>
      <c r="AD251" s="179"/>
      <c r="AE251" s="179"/>
      <c r="AF251" s="179"/>
      <c r="AG251" s="179"/>
      <c r="AH251" s="179"/>
      <c r="AI251" s="179"/>
      <c r="AJ251" s="179"/>
      <c r="AK251" s="191"/>
      <c r="AL251" s="191"/>
      <c r="AM251" s="191"/>
    </row>
    <row r="252" spans="1:39" hidden="1" x14ac:dyDescent="0.25">
      <c r="A252" s="274"/>
      <c r="B252" s="299"/>
      <c r="C252" s="274" t="s">
        <v>168</v>
      </c>
      <c r="D252" s="276">
        <v>0.44</v>
      </c>
      <c r="E252" s="279">
        <f t="shared" si="99"/>
        <v>6.0834290165696643E-2</v>
      </c>
      <c r="F252" s="276">
        <v>40</v>
      </c>
      <c r="G252" s="276">
        <f>+D252*F252/100</f>
        <v>0.17600000000000002</v>
      </c>
      <c r="H252" s="276">
        <f>+G252*J252</f>
        <v>0.52800000000000002</v>
      </c>
      <c r="I252" s="276">
        <f t="shared" si="91"/>
        <v>1.2</v>
      </c>
      <c r="J252" s="276">
        <v>3</v>
      </c>
      <c r="K252" s="296"/>
      <c r="L252" s="158"/>
    </row>
    <row r="253" spans="1:39" hidden="1" x14ac:dyDescent="0.25">
      <c r="A253" s="274"/>
      <c r="B253" s="299"/>
      <c r="C253" s="274" t="s">
        <v>166</v>
      </c>
      <c r="D253" s="276">
        <v>0.31</v>
      </c>
      <c r="E253" s="279">
        <f t="shared" si="99"/>
        <v>4.2860522616740816E-2</v>
      </c>
      <c r="F253" s="276">
        <v>40</v>
      </c>
      <c r="G253" s="276">
        <f>+D253*F253/100</f>
        <v>0.124</v>
      </c>
      <c r="H253" s="276">
        <f>+G253*J253</f>
        <v>0.372</v>
      </c>
      <c r="I253" s="276">
        <f t="shared" ref="I253" si="111">+H253/D253</f>
        <v>1.2</v>
      </c>
      <c r="J253" s="276">
        <v>3</v>
      </c>
      <c r="K253" s="296"/>
      <c r="L253" s="158"/>
    </row>
    <row r="254" spans="1:39" hidden="1" x14ac:dyDescent="0.25">
      <c r="A254" s="274"/>
      <c r="B254" s="278"/>
      <c r="C254" s="274" t="s">
        <v>726</v>
      </c>
      <c r="D254" s="276">
        <v>0.39779999999999999</v>
      </c>
      <c r="E254" s="279">
        <f t="shared" si="99"/>
        <v>5.4999728699804823E-2</v>
      </c>
      <c r="F254" s="276">
        <v>40</v>
      </c>
      <c r="G254" s="276">
        <f t="shared" ref="G254:G255" si="112">+D254*F254/100</f>
        <v>0.15911999999999998</v>
      </c>
      <c r="H254" s="276">
        <f t="shared" ref="H254:H255" si="113">+G254*J254</f>
        <v>0.47735999999999995</v>
      </c>
      <c r="I254" s="276">
        <f t="shared" si="91"/>
        <v>1.2</v>
      </c>
      <c r="J254" s="276">
        <v>3</v>
      </c>
      <c r="K254" s="296"/>
      <c r="L254" s="158"/>
    </row>
    <row r="255" spans="1:39" hidden="1" x14ac:dyDescent="0.25">
      <c r="A255" s="274"/>
      <c r="B255" s="278"/>
      <c r="C255" s="274" t="s">
        <v>833</v>
      </c>
      <c r="D255" s="276">
        <v>0.59530000000000005</v>
      </c>
      <c r="E255" s="279">
        <f t="shared" si="99"/>
        <v>8.2306029399180025E-2</v>
      </c>
      <c r="F255" s="276">
        <v>40</v>
      </c>
      <c r="G255" s="276">
        <f t="shared" si="112"/>
        <v>0.23812</v>
      </c>
      <c r="H255" s="276">
        <f t="shared" si="113"/>
        <v>0.71435999999999999</v>
      </c>
      <c r="I255" s="276">
        <f t="shared" si="91"/>
        <v>1.2</v>
      </c>
      <c r="J255" s="276">
        <v>3</v>
      </c>
      <c r="K255" s="296"/>
      <c r="L255" s="158"/>
    </row>
    <row r="256" spans="1:39" s="54" customFormat="1" x14ac:dyDescent="0.25">
      <c r="A256" s="269">
        <v>1.5</v>
      </c>
      <c r="B256" s="270" t="s">
        <v>91</v>
      </c>
      <c r="C256" s="269"/>
      <c r="D256" s="271">
        <f>+SUM(D257:D259)</f>
        <v>0.75</v>
      </c>
      <c r="E256" s="292">
        <f t="shared" si="99"/>
        <v>0.10369481278243746</v>
      </c>
      <c r="F256" s="271">
        <v>40</v>
      </c>
      <c r="G256" s="271">
        <f>+D256*F256/100</f>
        <v>0.3</v>
      </c>
      <c r="H256" s="271">
        <f>+G256*J256</f>
        <v>0.89999999999999991</v>
      </c>
      <c r="I256" s="271">
        <f t="shared" si="91"/>
        <v>1.2</v>
      </c>
      <c r="J256" s="271">
        <f>+J257</f>
        <v>3</v>
      </c>
      <c r="K256" s="293"/>
      <c r="L256" s="180"/>
      <c r="M256" s="180"/>
      <c r="N256" s="178"/>
      <c r="O256" s="180"/>
      <c r="P256" s="180"/>
      <c r="Q256" s="180"/>
      <c r="R256" s="180"/>
      <c r="S256" s="179"/>
      <c r="T256" s="179"/>
      <c r="U256" s="179"/>
      <c r="V256" s="179"/>
      <c r="W256" s="179"/>
      <c r="X256" s="179"/>
      <c r="Y256" s="179"/>
      <c r="Z256" s="179"/>
      <c r="AA256" s="179"/>
      <c r="AB256" s="179"/>
      <c r="AC256" s="179"/>
      <c r="AD256" s="179"/>
      <c r="AE256" s="179"/>
      <c r="AF256" s="179"/>
      <c r="AG256" s="179"/>
      <c r="AH256" s="179"/>
      <c r="AI256" s="179"/>
      <c r="AJ256" s="179"/>
      <c r="AK256" s="191"/>
      <c r="AL256" s="191"/>
      <c r="AM256" s="191"/>
    </row>
    <row r="257" spans="1:39" hidden="1" x14ac:dyDescent="0.25">
      <c r="A257" s="274"/>
      <c r="B257" s="278"/>
      <c r="C257" s="274" t="s">
        <v>276</v>
      </c>
      <c r="D257" s="276">
        <v>0.14000000000000001</v>
      </c>
      <c r="E257" s="279">
        <f t="shared" si="99"/>
        <v>1.9356365052721661E-2</v>
      </c>
      <c r="F257" s="276">
        <v>40</v>
      </c>
      <c r="G257" s="276">
        <f>+D257*F257/100</f>
        <v>5.6000000000000008E-2</v>
      </c>
      <c r="H257" s="276">
        <f>+G257*J257</f>
        <v>0.16800000000000004</v>
      </c>
      <c r="I257" s="276">
        <f t="shared" si="91"/>
        <v>1.2000000000000002</v>
      </c>
      <c r="J257" s="276">
        <v>3</v>
      </c>
      <c r="K257" s="296"/>
      <c r="L257" s="158"/>
    </row>
    <row r="258" spans="1:39" hidden="1" x14ac:dyDescent="0.25">
      <c r="A258" s="274"/>
      <c r="B258" s="278"/>
      <c r="C258" s="274" t="s">
        <v>272</v>
      </c>
      <c r="D258" s="276">
        <v>0.1</v>
      </c>
      <c r="E258" s="279">
        <f t="shared" si="99"/>
        <v>1.3825975037658327E-2</v>
      </c>
      <c r="F258" s="276">
        <v>40</v>
      </c>
      <c r="G258" s="276">
        <f>+D258*F258/100</f>
        <v>0.04</v>
      </c>
      <c r="H258" s="276">
        <f>+G258*J258</f>
        <v>0.12</v>
      </c>
      <c r="I258" s="276">
        <f t="shared" si="91"/>
        <v>1.2</v>
      </c>
      <c r="J258" s="276">
        <v>3</v>
      </c>
      <c r="K258" s="296"/>
      <c r="L258" s="158"/>
    </row>
    <row r="259" spans="1:39" hidden="1" x14ac:dyDescent="0.25">
      <c r="A259" s="274"/>
      <c r="B259" s="278"/>
      <c r="C259" s="274" t="s">
        <v>274</v>
      </c>
      <c r="D259" s="276">
        <v>0.51</v>
      </c>
      <c r="E259" s="279">
        <f t="shared" si="99"/>
        <v>7.051247269205746E-2</v>
      </c>
      <c r="F259" s="276">
        <v>40</v>
      </c>
      <c r="G259" s="276">
        <f>+D259*F259/100</f>
        <v>0.20399999999999999</v>
      </c>
      <c r="H259" s="276">
        <f>+G259*J259</f>
        <v>0.61199999999999999</v>
      </c>
      <c r="I259" s="276">
        <f t="shared" si="91"/>
        <v>1.2</v>
      </c>
      <c r="J259" s="276">
        <v>3</v>
      </c>
      <c r="K259" s="296"/>
      <c r="L259" s="158"/>
    </row>
    <row r="260" spans="1:39" s="56" customFormat="1" x14ac:dyDescent="0.2">
      <c r="A260" s="261">
        <v>2</v>
      </c>
      <c r="B260" s="266" t="s">
        <v>596</v>
      </c>
      <c r="C260" s="261"/>
      <c r="D260" s="267">
        <f>+SUM(D261:D263)</f>
        <v>1.6099999999999999</v>
      </c>
      <c r="E260" s="265">
        <f t="shared" si="99"/>
        <v>0.22259819810629905</v>
      </c>
      <c r="F260" s="267">
        <v>5</v>
      </c>
      <c r="G260" s="267">
        <f t="shared" ref="G260" si="114">+D260*F260/100</f>
        <v>8.0499999999999988E-2</v>
      </c>
      <c r="H260" s="267">
        <f t="shared" ref="H260:H266" si="115">+G260*J260</f>
        <v>8.0499999999999988E-2</v>
      </c>
      <c r="I260" s="267">
        <f t="shared" si="91"/>
        <v>4.9999999999999996E-2</v>
      </c>
      <c r="J260" s="267">
        <v>1</v>
      </c>
      <c r="K260" s="291"/>
      <c r="L260" s="176"/>
      <c r="M260" s="176"/>
      <c r="N260" s="174"/>
      <c r="O260" s="176"/>
      <c r="P260" s="176"/>
      <c r="Q260" s="176"/>
      <c r="R260" s="176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5"/>
      <c r="AE260" s="175"/>
      <c r="AF260" s="175"/>
      <c r="AG260" s="175"/>
      <c r="AH260" s="175"/>
      <c r="AI260" s="175"/>
      <c r="AJ260" s="175"/>
      <c r="AK260" s="190"/>
      <c r="AL260" s="190"/>
      <c r="AM260" s="190"/>
    </row>
    <row r="261" spans="1:39" hidden="1" x14ac:dyDescent="0.25">
      <c r="A261" s="274"/>
      <c r="B261" s="278"/>
      <c r="C261" s="274" t="s">
        <v>619</v>
      </c>
      <c r="D261" s="276">
        <v>0.25</v>
      </c>
      <c r="E261" s="279">
        <f t="shared" si="99"/>
        <v>3.4564937594145813E-2</v>
      </c>
      <c r="F261" s="276">
        <v>5</v>
      </c>
      <c r="G261" s="276">
        <f t="shared" ref="G261" si="116">+D261*F261/100</f>
        <v>1.2500000000000001E-2</v>
      </c>
      <c r="H261" s="276">
        <f t="shared" si="115"/>
        <v>1.2500000000000001E-2</v>
      </c>
      <c r="I261" s="276">
        <f t="shared" si="91"/>
        <v>0.05</v>
      </c>
      <c r="J261" s="276">
        <v>1</v>
      </c>
      <c r="K261" s="296"/>
      <c r="L261" s="158"/>
    </row>
    <row r="262" spans="1:39" hidden="1" x14ac:dyDescent="0.25">
      <c r="A262" s="274"/>
      <c r="B262" s="278"/>
      <c r="C262" s="274" t="s">
        <v>620</v>
      </c>
      <c r="D262" s="276">
        <v>0.23</v>
      </c>
      <c r="E262" s="279">
        <f t="shared" si="99"/>
        <v>3.1799742586614152E-2</v>
      </c>
      <c r="F262" s="276">
        <v>5</v>
      </c>
      <c r="G262" s="276">
        <f t="shared" ref="G262:G263" si="117">+D262*F262/100</f>
        <v>1.1500000000000002E-2</v>
      </c>
      <c r="H262" s="276">
        <f t="shared" si="115"/>
        <v>1.1500000000000002E-2</v>
      </c>
      <c r="I262" s="276">
        <f t="shared" si="91"/>
        <v>0.05</v>
      </c>
      <c r="J262" s="276">
        <v>1</v>
      </c>
      <c r="K262" s="296"/>
      <c r="L262" s="158"/>
    </row>
    <row r="263" spans="1:39" hidden="1" x14ac:dyDescent="0.25">
      <c r="A263" s="274"/>
      <c r="B263" s="278"/>
      <c r="C263" s="274" t="s">
        <v>747</v>
      </c>
      <c r="D263" s="276">
        <v>1.1299999999999999</v>
      </c>
      <c r="E263" s="279">
        <f t="shared" si="99"/>
        <v>0.15623351792553908</v>
      </c>
      <c r="F263" s="276">
        <v>5</v>
      </c>
      <c r="G263" s="276">
        <f t="shared" si="117"/>
        <v>5.6499999999999995E-2</v>
      </c>
      <c r="H263" s="276">
        <f t="shared" si="115"/>
        <v>5.6499999999999995E-2</v>
      </c>
      <c r="I263" s="276">
        <f t="shared" si="91"/>
        <v>0.05</v>
      </c>
      <c r="J263" s="276">
        <v>1</v>
      </c>
      <c r="K263" s="296"/>
      <c r="L263" s="158"/>
    </row>
    <row r="264" spans="1:39" s="56" customFormat="1" x14ac:dyDescent="0.2">
      <c r="A264" s="261">
        <v>3</v>
      </c>
      <c r="B264" s="266" t="s">
        <v>618</v>
      </c>
      <c r="C264" s="261"/>
      <c r="D264" s="267">
        <f>+SUM(D265:D268)</f>
        <v>2.1124999999999998</v>
      </c>
      <c r="E264" s="265">
        <f t="shared" si="99"/>
        <v>0.29207372267053211</v>
      </c>
      <c r="F264" s="267">
        <v>40</v>
      </c>
      <c r="G264" s="267">
        <f>+D264*F264/100</f>
        <v>0.84499999999999997</v>
      </c>
      <c r="H264" s="267">
        <f t="shared" si="115"/>
        <v>4.2249999999999996</v>
      </c>
      <c r="I264" s="267">
        <f t="shared" si="91"/>
        <v>2</v>
      </c>
      <c r="J264" s="267">
        <v>5</v>
      </c>
      <c r="K264" s="291"/>
      <c r="L264" s="176"/>
      <c r="M264" s="176"/>
      <c r="N264" s="174"/>
      <c r="O264" s="176"/>
      <c r="P264" s="176"/>
      <c r="Q264" s="176"/>
      <c r="R264" s="176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5"/>
      <c r="AE264" s="175"/>
      <c r="AF264" s="175"/>
      <c r="AG264" s="175"/>
      <c r="AH264" s="175"/>
      <c r="AI264" s="175"/>
      <c r="AJ264" s="175"/>
      <c r="AK264" s="190"/>
      <c r="AL264" s="190"/>
      <c r="AM264" s="190"/>
    </row>
    <row r="265" spans="1:39" hidden="1" x14ac:dyDescent="0.25">
      <c r="A265" s="274"/>
      <c r="B265" s="278"/>
      <c r="C265" s="274" t="s">
        <v>388</v>
      </c>
      <c r="D265" s="276">
        <v>0.45279999999999998</v>
      </c>
      <c r="E265" s="279">
        <f t="shared" si="99"/>
        <v>6.2604014970516902E-2</v>
      </c>
      <c r="F265" s="276">
        <v>40</v>
      </c>
      <c r="G265" s="276">
        <f>+D265*F265/100</f>
        <v>0.18111999999999998</v>
      </c>
      <c r="H265" s="276">
        <f t="shared" si="115"/>
        <v>0.90559999999999985</v>
      </c>
      <c r="I265" s="276">
        <f t="shared" ref="I265:I307" si="118">+H265/D265</f>
        <v>1.9999999999999998</v>
      </c>
      <c r="J265" s="276">
        <v>5</v>
      </c>
      <c r="K265" s="296"/>
      <c r="L265" s="158"/>
    </row>
    <row r="266" spans="1:39" hidden="1" x14ac:dyDescent="0.25">
      <c r="A266" s="274"/>
      <c r="B266" s="278"/>
      <c r="C266" s="274" t="s">
        <v>386</v>
      </c>
      <c r="D266" s="276">
        <v>1.2043999999999999</v>
      </c>
      <c r="E266" s="279">
        <f t="shared" si="99"/>
        <v>0.16652004335355686</v>
      </c>
      <c r="F266" s="276">
        <v>40</v>
      </c>
      <c r="G266" s="276">
        <f>+D266*F266/100</f>
        <v>0.48175999999999997</v>
      </c>
      <c r="H266" s="276">
        <f t="shared" si="115"/>
        <v>2.4087999999999998</v>
      </c>
      <c r="I266" s="276">
        <f t="shared" si="118"/>
        <v>2</v>
      </c>
      <c r="J266" s="276">
        <v>5</v>
      </c>
      <c r="K266" s="296"/>
      <c r="L266" s="158"/>
    </row>
    <row r="267" spans="1:39" hidden="1" x14ac:dyDescent="0.25">
      <c r="A267" s="274"/>
      <c r="B267" s="278"/>
      <c r="C267" s="274" t="s">
        <v>384</v>
      </c>
      <c r="D267" s="276">
        <v>0.31319999999999998</v>
      </c>
      <c r="E267" s="279">
        <f t="shared" si="99"/>
        <v>4.3302953817945876E-2</v>
      </c>
      <c r="F267" s="276">
        <v>40</v>
      </c>
      <c r="G267" s="276">
        <f t="shared" ref="G267" si="119">+D267*F267/100</f>
        <v>0.12527999999999997</v>
      </c>
      <c r="H267" s="276">
        <f t="shared" ref="H267:H268" si="120">+G267*J267</f>
        <v>0.62639999999999985</v>
      </c>
      <c r="I267" s="276">
        <f t="shared" si="118"/>
        <v>1.9999999999999996</v>
      </c>
      <c r="J267" s="276">
        <v>5</v>
      </c>
      <c r="K267" s="296"/>
      <c r="L267" s="158"/>
    </row>
    <row r="268" spans="1:39" hidden="1" x14ac:dyDescent="0.25">
      <c r="A268" s="300"/>
      <c r="B268" s="301"/>
      <c r="C268" s="274" t="s">
        <v>382</v>
      </c>
      <c r="D268" s="276">
        <v>0.1421</v>
      </c>
      <c r="E268" s="279">
        <f t="shared" ref="E268" si="121">+D268/$D$3*100</f>
        <v>1.9646710528512482E-2</v>
      </c>
      <c r="F268" s="276">
        <v>40</v>
      </c>
      <c r="G268" s="276">
        <f>+D268*F268/100</f>
        <v>5.6840000000000002E-2</v>
      </c>
      <c r="H268" s="276">
        <f t="shared" si="120"/>
        <v>0.28420000000000001</v>
      </c>
      <c r="I268" s="276">
        <f t="shared" si="118"/>
        <v>2</v>
      </c>
      <c r="J268" s="276">
        <v>5</v>
      </c>
      <c r="K268" s="296"/>
      <c r="L268" s="158"/>
    </row>
    <row r="269" spans="1:39" s="91" customFormat="1" ht="20.25" customHeight="1" x14ac:dyDescent="0.2">
      <c r="A269" s="263" t="s">
        <v>607</v>
      </c>
      <c r="B269" s="264" t="s">
        <v>595</v>
      </c>
      <c r="C269" s="263"/>
      <c r="D269" s="265">
        <f>+D270+D277+D278+D279+D282+D289+D290+D298+D294+D302+D308</f>
        <v>100.35849999999999</v>
      </c>
      <c r="E269" s="265">
        <f t="shared" si="99"/>
        <v>13.87554115816833</v>
      </c>
      <c r="F269" s="265"/>
      <c r="G269" s="265">
        <f>+G270+G277+G278+G279+G282+G289+G290+G294+G302+G308</f>
        <v>29.993319999999997</v>
      </c>
      <c r="H269" s="265"/>
      <c r="I269" s="267"/>
      <c r="J269" s="265"/>
      <c r="K269" s="290"/>
      <c r="L269" s="170"/>
      <c r="M269" s="170"/>
      <c r="N269" s="171"/>
      <c r="O269" s="170"/>
      <c r="P269" s="170"/>
      <c r="Q269" s="170"/>
      <c r="R269" s="170"/>
      <c r="S269" s="170"/>
      <c r="T269" s="170"/>
      <c r="U269" s="170"/>
      <c r="V269" s="170"/>
      <c r="W269" s="170"/>
      <c r="X269" s="170"/>
      <c r="Y269" s="170"/>
      <c r="Z269" s="170"/>
      <c r="AA269" s="170"/>
      <c r="AB269" s="170"/>
      <c r="AC269" s="170"/>
      <c r="AD269" s="170"/>
      <c r="AE269" s="170"/>
      <c r="AF269" s="170"/>
      <c r="AG269" s="170"/>
      <c r="AH269" s="170"/>
      <c r="AI269" s="170"/>
      <c r="AJ269" s="170"/>
      <c r="AK269" s="172"/>
      <c r="AL269" s="173"/>
      <c r="AM269" s="173"/>
    </row>
    <row r="270" spans="1:39" s="56" customFormat="1" x14ac:dyDescent="0.2">
      <c r="A270" s="261">
        <v>1</v>
      </c>
      <c r="B270" s="266" t="s">
        <v>96</v>
      </c>
      <c r="C270" s="261"/>
      <c r="D270" s="267">
        <f>+SUM(D271:D276)</f>
        <v>31.1922</v>
      </c>
      <c r="E270" s="265">
        <f t="shared" si="99"/>
        <v>4.3126257856964605</v>
      </c>
      <c r="F270" s="267">
        <f>+F271</f>
        <v>60</v>
      </c>
      <c r="G270" s="267">
        <f>+D270*F270/100</f>
        <v>18.715319999999998</v>
      </c>
      <c r="H270" s="267">
        <f>+G270*J270</f>
        <v>56.145959999999995</v>
      </c>
      <c r="I270" s="267">
        <f t="shared" si="118"/>
        <v>1.7999999999999998</v>
      </c>
      <c r="J270" s="267">
        <f>+J271</f>
        <v>3</v>
      </c>
      <c r="K270" s="291"/>
      <c r="L270" s="176"/>
      <c r="M270" s="176"/>
      <c r="N270" s="174"/>
      <c r="O270" s="176"/>
      <c r="P270" s="176"/>
      <c r="Q270" s="176"/>
      <c r="R270" s="176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  <c r="AD270" s="175"/>
      <c r="AE270" s="175"/>
      <c r="AF270" s="175"/>
      <c r="AG270" s="175"/>
      <c r="AH270" s="175"/>
      <c r="AI270" s="175"/>
      <c r="AJ270" s="175"/>
      <c r="AK270" s="190"/>
      <c r="AL270" s="190"/>
      <c r="AM270" s="190"/>
    </row>
    <row r="271" spans="1:39" hidden="1" x14ac:dyDescent="0.25">
      <c r="A271" s="274"/>
      <c r="B271" s="278"/>
      <c r="C271" s="274" t="s">
        <v>356</v>
      </c>
      <c r="D271" s="276">
        <v>4.9183000000000003</v>
      </c>
      <c r="E271" s="279">
        <f t="shared" si="99"/>
        <v>0.68000293027714953</v>
      </c>
      <c r="F271" s="276">
        <v>60</v>
      </c>
      <c r="G271" s="276">
        <f>+D271*F271/100</f>
        <v>2.9509799999999999</v>
      </c>
      <c r="H271" s="276">
        <f>+G271*J271</f>
        <v>8.8529400000000003</v>
      </c>
      <c r="I271" s="276">
        <f t="shared" si="118"/>
        <v>1.7999999999999998</v>
      </c>
      <c r="J271" s="276">
        <v>3</v>
      </c>
      <c r="K271" s="296"/>
      <c r="L271" s="158"/>
    </row>
    <row r="272" spans="1:39" hidden="1" x14ac:dyDescent="0.25">
      <c r="A272" s="274"/>
      <c r="B272" s="278"/>
      <c r="C272" s="274" t="s">
        <v>358</v>
      </c>
      <c r="D272" s="276">
        <v>6.0224000000000002</v>
      </c>
      <c r="E272" s="279">
        <f t="shared" si="99"/>
        <v>0.83265552066793502</v>
      </c>
      <c r="F272" s="276">
        <v>60</v>
      </c>
      <c r="G272" s="276">
        <f t="shared" ref="G272:G277" si="122">+D272*F272/100</f>
        <v>3.6134399999999998</v>
      </c>
      <c r="H272" s="276">
        <f t="shared" ref="H272:H277" si="123">+G272*J272</f>
        <v>10.840319999999998</v>
      </c>
      <c r="I272" s="276">
        <f t="shared" si="118"/>
        <v>1.7999999999999996</v>
      </c>
      <c r="J272" s="276">
        <v>3</v>
      </c>
      <c r="K272" s="296"/>
      <c r="L272" s="158"/>
    </row>
    <row r="273" spans="1:39" hidden="1" x14ac:dyDescent="0.25">
      <c r="A273" s="274"/>
      <c r="B273" s="278"/>
      <c r="C273" s="274" t="s">
        <v>352</v>
      </c>
      <c r="D273" s="276">
        <v>7.3712999999999997</v>
      </c>
      <c r="E273" s="279">
        <f t="shared" si="99"/>
        <v>1.0191540979509082</v>
      </c>
      <c r="F273" s="276">
        <v>60</v>
      </c>
      <c r="G273" s="276">
        <f t="shared" si="122"/>
        <v>4.4227799999999995</v>
      </c>
      <c r="H273" s="276">
        <f t="shared" si="123"/>
        <v>13.268339999999998</v>
      </c>
      <c r="I273" s="276">
        <f t="shared" si="118"/>
        <v>1.7999999999999998</v>
      </c>
      <c r="J273" s="276">
        <v>3</v>
      </c>
      <c r="K273" s="296"/>
      <c r="L273" s="158"/>
    </row>
    <row r="274" spans="1:39" hidden="1" x14ac:dyDescent="0.25">
      <c r="A274" s="274"/>
      <c r="B274" s="278"/>
      <c r="C274" s="274" t="s">
        <v>354</v>
      </c>
      <c r="D274" s="276">
        <v>6.1215000000000002</v>
      </c>
      <c r="E274" s="279">
        <f t="shared" si="99"/>
        <v>0.84635706193025451</v>
      </c>
      <c r="F274" s="276">
        <v>60</v>
      </c>
      <c r="G274" s="276">
        <f t="shared" si="122"/>
        <v>3.6729000000000003</v>
      </c>
      <c r="H274" s="276">
        <f t="shared" si="123"/>
        <v>11.018700000000001</v>
      </c>
      <c r="I274" s="276">
        <f t="shared" si="118"/>
        <v>1.8</v>
      </c>
      <c r="J274" s="276">
        <v>3</v>
      </c>
      <c r="K274" s="296"/>
      <c r="L274" s="158"/>
    </row>
    <row r="275" spans="1:39" hidden="1" x14ac:dyDescent="0.25">
      <c r="A275" s="274"/>
      <c r="B275" s="278"/>
      <c r="C275" s="274" t="s">
        <v>350</v>
      </c>
      <c r="D275" s="276">
        <v>3.7294</v>
      </c>
      <c r="E275" s="279">
        <f t="shared" si="99"/>
        <v>0.51562591305442962</v>
      </c>
      <c r="F275" s="276">
        <v>60</v>
      </c>
      <c r="G275" s="276">
        <f t="shared" si="122"/>
        <v>2.2376400000000003</v>
      </c>
      <c r="H275" s="276">
        <f t="shared" si="123"/>
        <v>6.7129200000000004</v>
      </c>
      <c r="I275" s="276">
        <f t="shared" si="118"/>
        <v>1.8</v>
      </c>
      <c r="J275" s="276">
        <v>3</v>
      </c>
      <c r="K275" s="296"/>
      <c r="L275" s="158"/>
    </row>
    <row r="276" spans="1:39" hidden="1" x14ac:dyDescent="0.25">
      <c r="A276" s="274"/>
      <c r="B276" s="278"/>
      <c r="C276" s="274" t="s">
        <v>348</v>
      </c>
      <c r="D276" s="276">
        <v>3.0293000000000001</v>
      </c>
      <c r="E276" s="279">
        <f t="shared" si="99"/>
        <v>0.4188302618157837</v>
      </c>
      <c r="F276" s="276">
        <v>60</v>
      </c>
      <c r="G276" s="276">
        <f t="shared" si="122"/>
        <v>1.8175800000000002</v>
      </c>
      <c r="H276" s="276">
        <f t="shared" si="123"/>
        <v>5.4527400000000004</v>
      </c>
      <c r="I276" s="276">
        <f t="shared" si="118"/>
        <v>1.8</v>
      </c>
      <c r="J276" s="276">
        <v>3</v>
      </c>
      <c r="K276" s="296"/>
      <c r="L276" s="158"/>
    </row>
    <row r="277" spans="1:39" s="56" customFormat="1" x14ac:dyDescent="0.2">
      <c r="A277" s="261">
        <v>2</v>
      </c>
      <c r="B277" s="266" t="s">
        <v>97</v>
      </c>
      <c r="C277" s="261" t="s">
        <v>635</v>
      </c>
      <c r="D277" s="267">
        <v>0.32</v>
      </c>
      <c r="E277" s="265">
        <f t="shared" si="99"/>
        <v>4.4243120120506643E-2</v>
      </c>
      <c r="F277" s="267">
        <v>40</v>
      </c>
      <c r="G277" s="267">
        <f t="shared" si="122"/>
        <v>0.128</v>
      </c>
      <c r="H277" s="267">
        <f t="shared" si="123"/>
        <v>0.64</v>
      </c>
      <c r="I277" s="267">
        <f t="shared" si="118"/>
        <v>2</v>
      </c>
      <c r="J277" s="267">
        <v>5</v>
      </c>
      <c r="K277" s="291"/>
      <c r="L277" s="176"/>
      <c r="M277" s="176"/>
      <c r="N277" s="174"/>
      <c r="O277" s="176"/>
      <c r="P277" s="176"/>
      <c r="Q277" s="176"/>
      <c r="R277" s="176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5"/>
      <c r="AE277" s="175"/>
      <c r="AF277" s="175"/>
      <c r="AG277" s="175"/>
      <c r="AH277" s="175"/>
      <c r="AI277" s="175"/>
      <c r="AJ277" s="175"/>
      <c r="AK277" s="190"/>
      <c r="AL277" s="190"/>
      <c r="AM277" s="190"/>
    </row>
    <row r="278" spans="1:39" s="56" customFormat="1" x14ac:dyDescent="0.2">
      <c r="A278" s="261">
        <v>3</v>
      </c>
      <c r="B278" s="266" t="s">
        <v>630</v>
      </c>
      <c r="C278" s="261" t="s">
        <v>376</v>
      </c>
      <c r="D278" s="267">
        <v>0.68</v>
      </c>
      <c r="E278" s="265">
        <f t="shared" si="99"/>
        <v>9.4016630256076622E-2</v>
      </c>
      <c r="F278" s="267">
        <v>40</v>
      </c>
      <c r="G278" s="267">
        <f>+D278*F278/100</f>
        <v>0.27200000000000002</v>
      </c>
      <c r="H278" s="267">
        <f>+G278*J278</f>
        <v>1.36</v>
      </c>
      <c r="I278" s="267">
        <f t="shared" si="118"/>
        <v>2</v>
      </c>
      <c r="J278" s="267">
        <v>5</v>
      </c>
      <c r="K278" s="291"/>
      <c r="L278" s="176"/>
      <c r="M278" s="176"/>
      <c r="N278" s="174"/>
      <c r="O278" s="176"/>
      <c r="P278" s="176"/>
      <c r="Q278" s="176"/>
      <c r="R278" s="176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5"/>
      <c r="AE278" s="175"/>
      <c r="AF278" s="175"/>
      <c r="AG278" s="175"/>
      <c r="AH278" s="175"/>
      <c r="AI278" s="175"/>
      <c r="AJ278" s="175"/>
      <c r="AK278" s="190"/>
      <c r="AL278" s="190"/>
      <c r="AM278" s="190"/>
    </row>
    <row r="279" spans="1:39" s="56" customFormat="1" x14ac:dyDescent="0.2">
      <c r="A279" s="261">
        <v>4</v>
      </c>
      <c r="B279" s="266" t="s">
        <v>98</v>
      </c>
      <c r="C279" s="261"/>
      <c r="D279" s="267">
        <f>+D280+D281</f>
        <v>0.9</v>
      </c>
      <c r="E279" s="265">
        <f t="shared" si="99"/>
        <v>0.12443377533892495</v>
      </c>
      <c r="F279" s="267">
        <v>40</v>
      </c>
      <c r="G279" s="267">
        <f>+D279*F279/100</f>
        <v>0.36</v>
      </c>
      <c r="H279" s="267">
        <f>+G279*J279</f>
        <v>1.7999999999999998</v>
      </c>
      <c r="I279" s="267">
        <f t="shared" si="118"/>
        <v>1.9999999999999998</v>
      </c>
      <c r="J279" s="267">
        <v>5</v>
      </c>
      <c r="K279" s="291"/>
      <c r="L279" s="176"/>
      <c r="M279" s="176"/>
      <c r="N279" s="174"/>
      <c r="O279" s="176"/>
      <c r="P279" s="176"/>
      <c r="Q279" s="176"/>
      <c r="R279" s="176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5"/>
      <c r="AE279" s="175"/>
      <c r="AF279" s="175"/>
      <c r="AG279" s="175"/>
      <c r="AH279" s="175"/>
      <c r="AI279" s="175"/>
      <c r="AJ279" s="175"/>
      <c r="AK279" s="190"/>
      <c r="AL279" s="190"/>
      <c r="AM279" s="190"/>
    </row>
    <row r="280" spans="1:39" hidden="1" x14ac:dyDescent="0.25">
      <c r="A280" s="274"/>
      <c r="B280" s="278"/>
      <c r="C280" s="274" t="s">
        <v>727</v>
      </c>
      <c r="D280" s="276">
        <v>0.24</v>
      </c>
      <c r="E280" s="279">
        <f t="shared" ref="E280:E281" si="124">+D280/$D$3*100</f>
        <v>3.3182340090379979E-2</v>
      </c>
      <c r="F280" s="276">
        <v>40</v>
      </c>
      <c r="G280" s="276">
        <f>+D280*F280/100</f>
        <v>9.6000000000000002E-2</v>
      </c>
      <c r="H280" s="276">
        <f>+G280*J280</f>
        <v>0.48</v>
      </c>
      <c r="I280" s="276">
        <f t="shared" si="118"/>
        <v>2</v>
      </c>
      <c r="J280" s="276">
        <v>5</v>
      </c>
      <c r="K280" s="296"/>
      <c r="L280" s="158"/>
    </row>
    <row r="281" spans="1:39" hidden="1" x14ac:dyDescent="0.25">
      <c r="A281" s="274"/>
      <c r="B281" s="278"/>
      <c r="C281" s="274" t="s">
        <v>728</v>
      </c>
      <c r="D281" s="276">
        <v>0.66</v>
      </c>
      <c r="E281" s="279">
        <f t="shared" si="124"/>
        <v>9.1251435248544954E-2</v>
      </c>
      <c r="F281" s="276">
        <v>40</v>
      </c>
      <c r="G281" s="276">
        <f>+D281*F281/100</f>
        <v>0.26400000000000001</v>
      </c>
      <c r="H281" s="276">
        <f>+G281*J281</f>
        <v>1.32</v>
      </c>
      <c r="I281" s="276">
        <f t="shared" si="118"/>
        <v>2</v>
      </c>
      <c r="J281" s="276">
        <v>5</v>
      </c>
      <c r="K281" s="296"/>
      <c r="L281" s="158"/>
    </row>
    <row r="282" spans="1:39" s="56" customFormat="1" x14ac:dyDescent="0.2">
      <c r="A282" s="261">
        <v>5</v>
      </c>
      <c r="B282" s="266" t="s">
        <v>99</v>
      </c>
      <c r="C282" s="261"/>
      <c r="D282" s="267">
        <f>+SUM(D283:D288)</f>
        <v>3.2499999999999996</v>
      </c>
      <c r="E282" s="265">
        <f t="shared" si="99"/>
        <v>0.44934418872389559</v>
      </c>
      <c r="F282" s="267">
        <f>G282/D282*100</f>
        <v>43.015384615384619</v>
      </c>
      <c r="G282" s="267">
        <f>SUM(G283:G288)</f>
        <v>1.3979999999999999</v>
      </c>
      <c r="H282" s="267"/>
      <c r="I282" s="267"/>
      <c r="J282" s="267" t="s">
        <v>835</v>
      </c>
      <c r="K282" s="291"/>
      <c r="L282" s="176"/>
      <c r="M282" s="176"/>
      <c r="N282" s="174"/>
      <c r="O282" s="176"/>
      <c r="P282" s="176"/>
      <c r="Q282" s="176"/>
      <c r="R282" s="176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5"/>
      <c r="AE282" s="175"/>
      <c r="AF282" s="175"/>
      <c r="AG282" s="175"/>
      <c r="AH282" s="175"/>
      <c r="AI282" s="175"/>
      <c r="AJ282" s="175"/>
      <c r="AK282" s="190"/>
      <c r="AL282" s="190"/>
      <c r="AM282" s="190"/>
    </row>
    <row r="283" spans="1:39" hidden="1" x14ac:dyDescent="0.25">
      <c r="A283" s="274"/>
      <c r="B283" s="278"/>
      <c r="C283" s="274" t="s">
        <v>621</v>
      </c>
      <c r="D283" s="276">
        <v>0.22</v>
      </c>
      <c r="E283" s="279">
        <f t="shared" si="99"/>
        <v>3.0417145082848322E-2</v>
      </c>
      <c r="F283" s="276">
        <v>50</v>
      </c>
      <c r="G283" s="276">
        <f>+D283*F283/100</f>
        <v>0.11</v>
      </c>
      <c r="H283" s="276">
        <f>+G283*J283</f>
        <v>0.33</v>
      </c>
      <c r="I283" s="276">
        <f t="shared" si="118"/>
        <v>1.5</v>
      </c>
      <c r="J283" s="276">
        <v>3</v>
      </c>
      <c r="K283" s="296"/>
      <c r="L283" s="158"/>
    </row>
    <row r="284" spans="1:39" hidden="1" x14ac:dyDescent="0.25">
      <c r="A284" s="274"/>
      <c r="B284" s="278"/>
      <c r="C284" s="274" t="s">
        <v>622</v>
      </c>
      <c r="D284" s="276">
        <v>0.19</v>
      </c>
      <c r="E284" s="279">
        <f t="shared" si="99"/>
        <v>2.6269352571550823E-2</v>
      </c>
      <c r="F284" s="276">
        <v>40</v>
      </c>
      <c r="G284" s="276">
        <f t="shared" ref="G284:G289" si="125">+D284*F284/100</f>
        <v>7.5999999999999998E-2</v>
      </c>
      <c r="H284" s="276">
        <f t="shared" ref="H284:H289" si="126">+G284*J284</f>
        <v>0.22799999999999998</v>
      </c>
      <c r="I284" s="276">
        <f t="shared" si="118"/>
        <v>1.2</v>
      </c>
      <c r="J284" s="276">
        <v>3</v>
      </c>
      <c r="K284" s="296"/>
      <c r="L284" s="158"/>
    </row>
    <row r="285" spans="1:39" hidden="1" x14ac:dyDescent="0.25">
      <c r="A285" s="274"/>
      <c r="B285" s="278"/>
      <c r="C285" s="274" t="s">
        <v>625</v>
      </c>
      <c r="D285" s="276">
        <v>1.18</v>
      </c>
      <c r="E285" s="279">
        <f t="shared" si="99"/>
        <v>0.16314650544436826</v>
      </c>
      <c r="F285" s="276">
        <v>40</v>
      </c>
      <c r="G285" s="276">
        <f t="shared" si="125"/>
        <v>0.47199999999999998</v>
      </c>
      <c r="H285" s="276">
        <f t="shared" si="126"/>
        <v>1.4159999999999999</v>
      </c>
      <c r="I285" s="276">
        <f t="shared" si="118"/>
        <v>1.2</v>
      </c>
      <c r="J285" s="276">
        <v>3</v>
      </c>
      <c r="K285" s="296"/>
      <c r="L285" s="158"/>
    </row>
    <row r="286" spans="1:39" hidden="1" x14ac:dyDescent="0.25">
      <c r="A286" s="274"/>
      <c r="B286" s="278"/>
      <c r="C286" s="274" t="s">
        <v>626</v>
      </c>
      <c r="D286" s="276">
        <v>0.76</v>
      </c>
      <c r="E286" s="279">
        <f t="shared" ref="E286:E287" si="127">+D286/$D$3*100</f>
        <v>0.10507741028620329</v>
      </c>
      <c r="F286" s="276">
        <v>50</v>
      </c>
      <c r="G286" s="276">
        <f>+D286*F286/100</f>
        <v>0.38</v>
      </c>
      <c r="H286" s="276">
        <f>+G286*J286</f>
        <v>2.66</v>
      </c>
      <c r="I286" s="276">
        <f t="shared" si="118"/>
        <v>3.5</v>
      </c>
      <c r="J286" s="276">
        <v>7</v>
      </c>
      <c r="K286" s="296"/>
      <c r="L286" s="158"/>
    </row>
    <row r="287" spans="1:39" hidden="1" x14ac:dyDescent="0.25">
      <c r="A287" s="274"/>
      <c r="B287" s="278"/>
      <c r="C287" s="274" t="s">
        <v>753</v>
      </c>
      <c r="D287" s="276">
        <v>0.23</v>
      </c>
      <c r="E287" s="279">
        <f t="shared" si="127"/>
        <v>3.1799742586614152E-2</v>
      </c>
      <c r="F287" s="276">
        <v>40</v>
      </c>
      <c r="G287" s="276">
        <f>+D287*F287/100</f>
        <v>9.2000000000000012E-2</v>
      </c>
      <c r="H287" s="276">
        <f>+G287*J287</f>
        <v>0.46000000000000008</v>
      </c>
      <c r="I287" s="276">
        <f t="shared" si="118"/>
        <v>2.0000000000000004</v>
      </c>
      <c r="J287" s="276">
        <v>5</v>
      </c>
      <c r="K287" s="296"/>
      <c r="L287" s="158"/>
    </row>
    <row r="288" spans="1:39" hidden="1" x14ac:dyDescent="0.25">
      <c r="A288" s="274"/>
      <c r="B288" s="278"/>
      <c r="C288" s="274" t="s">
        <v>834</v>
      </c>
      <c r="D288" s="276">
        <v>0.67</v>
      </c>
      <c r="E288" s="279">
        <f t="shared" si="99"/>
        <v>9.2634032752310788E-2</v>
      </c>
      <c r="F288" s="276">
        <v>40</v>
      </c>
      <c r="G288" s="276">
        <f t="shared" ref="G288" si="128">+D288*F288/100</f>
        <v>0.26800000000000002</v>
      </c>
      <c r="H288" s="276">
        <f t="shared" ref="H288" si="129">+G288*J288</f>
        <v>2.4119999999999999</v>
      </c>
      <c r="I288" s="276">
        <f t="shared" si="118"/>
        <v>3.5999999999999996</v>
      </c>
      <c r="J288" s="276">
        <v>9</v>
      </c>
      <c r="K288" s="296"/>
      <c r="L288" s="158"/>
    </row>
    <row r="289" spans="1:39" s="56" customFormat="1" x14ac:dyDescent="0.2">
      <c r="A289" s="261">
        <v>6</v>
      </c>
      <c r="B289" s="266" t="s">
        <v>101</v>
      </c>
      <c r="C289" s="261" t="s">
        <v>4</v>
      </c>
      <c r="D289" s="267">
        <v>0.94</v>
      </c>
      <c r="E289" s="265">
        <f t="shared" si="99"/>
        <v>0.12996416535398825</v>
      </c>
      <c r="F289" s="267">
        <v>40</v>
      </c>
      <c r="G289" s="267">
        <f t="shared" si="125"/>
        <v>0.37599999999999995</v>
      </c>
      <c r="H289" s="267">
        <f t="shared" si="126"/>
        <v>0.37599999999999995</v>
      </c>
      <c r="I289" s="267">
        <f t="shared" si="118"/>
        <v>0.39999999999999997</v>
      </c>
      <c r="J289" s="267">
        <v>1</v>
      </c>
      <c r="K289" s="291"/>
      <c r="L289" s="176"/>
      <c r="M289" s="176"/>
      <c r="N289" s="174"/>
      <c r="O289" s="176"/>
      <c r="P289" s="176"/>
      <c r="Q289" s="176"/>
      <c r="R289" s="176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  <c r="AD289" s="175"/>
      <c r="AE289" s="175"/>
      <c r="AF289" s="175"/>
      <c r="AG289" s="175"/>
      <c r="AH289" s="175"/>
      <c r="AI289" s="175"/>
      <c r="AJ289" s="175"/>
      <c r="AK289" s="190"/>
      <c r="AL289" s="190"/>
      <c r="AM289" s="190"/>
    </row>
    <row r="290" spans="1:39" s="56" customFormat="1" x14ac:dyDescent="0.2">
      <c r="A290" s="261">
        <v>7</v>
      </c>
      <c r="B290" s="266" t="s">
        <v>102</v>
      </c>
      <c r="C290" s="261"/>
      <c r="D290" s="267">
        <f>+SUM(D291:D293)</f>
        <v>5.15</v>
      </c>
      <c r="E290" s="265">
        <f t="shared" si="99"/>
        <v>0.71203771443940389</v>
      </c>
      <c r="F290" s="267">
        <f>+F291</f>
        <v>40</v>
      </c>
      <c r="G290" s="267">
        <f>+D290*F290/100</f>
        <v>2.06</v>
      </c>
      <c r="H290" s="267">
        <f>+G290*J290</f>
        <v>10.3</v>
      </c>
      <c r="I290" s="267">
        <f t="shared" si="118"/>
        <v>2</v>
      </c>
      <c r="J290" s="267">
        <v>5</v>
      </c>
      <c r="K290" s="291"/>
      <c r="L290" s="176"/>
      <c r="M290" s="176"/>
      <c r="N290" s="174"/>
      <c r="O290" s="176"/>
      <c r="P290" s="176"/>
      <c r="Q290" s="176"/>
      <c r="R290" s="176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  <c r="AD290" s="175"/>
      <c r="AE290" s="175"/>
      <c r="AF290" s="175"/>
      <c r="AG290" s="175"/>
      <c r="AH290" s="175"/>
      <c r="AI290" s="175"/>
      <c r="AJ290" s="175"/>
      <c r="AK290" s="190"/>
      <c r="AL290" s="190"/>
      <c r="AM290" s="190"/>
    </row>
    <row r="291" spans="1:39" hidden="1" x14ac:dyDescent="0.25">
      <c r="A291" s="274"/>
      <c r="B291" s="278"/>
      <c r="C291" s="274" t="s">
        <v>286</v>
      </c>
      <c r="D291" s="276">
        <v>0.27</v>
      </c>
      <c r="E291" s="279">
        <f t="shared" ref="E291:E360" si="130">+D291/$D$3*100</f>
        <v>3.7330132601677488E-2</v>
      </c>
      <c r="F291" s="276">
        <v>40</v>
      </c>
      <c r="G291" s="276">
        <f>+D291*F291/100</f>
        <v>0.10800000000000001</v>
      </c>
      <c r="H291" s="276">
        <f>+G291*J291</f>
        <v>0.54</v>
      </c>
      <c r="I291" s="276">
        <f t="shared" si="118"/>
        <v>2</v>
      </c>
      <c r="J291" s="276">
        <v>5</v>
      </c>
      <c r="K291" s="296"/>
      <c r="L291" s="158"/>
    </row>
    <row r="292" spans="1:39" hidden="1" x14ac:dyDescent="0.25">
      <c r="A292" s="274"/>
      <c r="B292" s="278"/>
      <c r="C292" s="274" t="s">
        <v>284</v>
      </c>
      <c r="D292" s="276">
        <v>0.33</v>
      </c>
      <c r="E292" s="279">
        <f t="shared" si="130"/>
        <v>4.5625717624272477E-2</v>
      </c>
      <c r="F292" s="276">
        <v>40</v>
      </c>
      <c r="G292" s="276">
        <f t="shared" ref="G292" si="131">+D292*F292/100</f>
        <v>0.13200000000000001</v>
      </c>
      <c r="H292" s="276">
        <f t="shared" ref="H292" si="132">+G292*J292</f>
        <v>0.66</v>
      </c>
      <c r="I292" s="276">
        <f t="shared" si="118"/>
        <v>2</v>
      </c>
      <c r="J292" s="276">
        <v>5</v>
      </c>
      <c r="K292" s="296"/>
      <c r="L292" s="158"/>
    </row>
    <row r="293" spans="1:39" hidden="1" x14ac:dyDescent="0.25">
      <c r="A293" s="274"/>
      <c r="B293" s="278"/>
      <c r="C293" s="274" t="s">
        <v>282</v>
      </c>
      <c r="D293" s="276">
        <v>4.55</v>
      </c>
      <c r="E293" s="279">
        <f t="shared" si="130"/>
        <v>0.6290818642134538</v>
      </c>
      <c r="F293" s="276">
        <v>40</v>
      </c>
      <c r="G293" s="276">
        <f>+D293*F293/100</f>
        <v>1.82</v>
      </c>
      <c r="H293" s="276">
        <f>+G293*J293</f>
        <v>9.1</v>
      </c>
      <c r="I293" s="276">
        <f t="shared" si="118"/>
        <v>2</v>
      </c>
      <c r="J293" s="276">
        <v>5</v>
      </c>
      <c r="K293" s="296"/>
      <c r="L293" s="158"/>
    </row>
    <row r="294" spans="1:39" s="56" customFormat="1" x14ac:dyDescent="0.2">
      <c r="A294" s="261">
        <v>8</v>
      </c>
      <c r="B294" s="266" t="s">
        <v>104</v>
      </c>
      <c r="C294" s="261"/>
      <c r="D294" s="267">
        <f>+SUM(D295:D297)</f>
        <v>0.67</v>
      </c>
      <c r="E294" s="265">
        <f t="shared" si="130"/>
        <v>9.2634032752310788E-2</v>
      </c>
      <c r="F294" s="267">
        <f>+F295</f>
        <v>40</v>
      </c>
      <c r="G294" s="267">
        <f>+D294*F294/100</f>
        <v>0.26800000000000002</v>
      </c>
      <c r="H294" s="267">
        <f>+G294*J294</f>
        <v>0.26800000000000002</v>
      </c>
      <c r="I294" s="267">
        <f t="shared" si="118"/>
        <v>0.4</v>
      </c>
      <c r="J294" s="267">
        <f>+J295</f>
        <v>1</v>
      </c>
      <c r="K294" s="291"/>
      <c r="L294" s="176"/>
      <c r="M294" s="176"/>
      <c r="N294" s="174"/>
      <c r="O294" s="176"/>
      <c r="P294" s="176"/>
      <c r="Q294" s="176"/>
      <c r="R294" s="176"/>
      <c r="S294" s="175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  <c r="AD294" s="175"/>
      <c r="AE294" s="175"/>
      <c r="AF294" s="175"/>
      <c r="AG294" s="175"/>
      <c r="AH294" s="175"/>
      <c r="AI294" s="175"/>
      <c r="AJ294" s="175"/>
      <c r="AK294" s="190"/>
      <c r="AL294" s="190"/>
      <c r="AM294" s="190"/>
    </row>
    <row r="295" spans="1:39" hidden="1" x14ac:dyDescent="0.25">
      <c r="A295" s="274"/>
      <c r="B295" s="278"/>
      <c r="C295" s="274" t="s">
        <v>336</v>
      </c>
      <c r="D295" s="276">
        <v>0.32</v>
      </c>
      <c r="E295" s="279">
        <f t="shared" si="130"/>
        <v>4.4243120120506643E-2</v>
      </c>
      <c r="F295" s="276">
        <v>40</v>
      </c>
      <c r="G295" s="276">
        <f>+D295*F295/100</f>
        <v>0.128</v>
      </c>
      <c r="H295" s="276">
        <f>+G295*J295</f>
        <v>0.128</v>
      </c>
      <c r="I295" s="276">
        <f t="shared" si="118"/>
        <v>0.4</v>
      </c>
      <c r="J295" s="276">
        <v>1</v>
      </c>
      <c r="K295" s="296"/>
      <c r="L295" s="158"/>
    </row>
    <row r="296" spans="1:39" hidden="1" x14ac:dyDescent="0.25">
      <c r="A296" s="274"/>
      <c r="B296" s="278"/>
      <c r="C296" s="274" t="s">
        <v>334</v>
      </c>
      <c r="D296" s="276">
        <v>0.24</v>
      </c>
      <c r="E296" s="279">
        <f t="shared" si="130"/>
        <v>3.3182340090379979E-2</v>
      </c>
      <c r="F296" s="276">
        <v>40</v>
      </c>
      <c r="G296" s="276">
        <f t="shared" ref="G296" si="133">+D296*F296/100</f>
        <v>9.6000000000000002E-2</v>
      </c>
      <c r="H296" s="276">
        <f t="shared" ref="H296" si="134">+G296*J296</f>
        <v>9.6000000000000002E-2</v>
      </c>
      <c r="I296" s="276">
        <f t="shared" si="118"/>
        <v>0.4</v>
      </c>
      <c r="J296" s="276">
        <v>1</v>
      </c>
      <c r="K296" s="296"/>
      <c r="L296" s="158"/>
    </row>
    <row r="297" spans="1:39" hidden="1" x14ac:dyDescent="0.25">
      <c r="A297" s="274"/>
      <c r="B297" s="278"/>
      <c r="C297" s="274" t="s">
        <v>836</v>
      </c>
      <c r="D297" s="276">
        <v>0.11</v>
      </c>
      <c r="E297" s="279">
        <f t="shared" si="130"/>
        <v>1.5208572541424161E-2</v>
      </c>
      <c r="F297" s="276">
        <v>40</v>
      </c>
      <c r="G297" s="276">
        <f>+D297*F297/100</f>
        <v>4.4000000000000004E-2</v>
      </c>
      <c r="H297" s="276">
        <f>+G297*J297</f>
        <v>4.4000000000000004E-2</v>
      </c>
      <c r="I297" s="276">
        <f t="shared" ref="I297" si="135">+H297/D297</f>
        <v>0.4</v>
      </c>
      <c r="J297" s="276">
        <v>1</v>
      </c>
      <c r="K297" s="296"/>
      <c r="L297" s="158"/>
    </row>
    <row r="298" spans="1:39" x14ac:dyDescent="0.25">
      <c r="A298" s="261">
        <v>9</v>
      </c>
      <c r="B298" s="266" t="s">
        <v>837</v>
      </c>
      <c r="C298" s="261"/>
      <c r="D298" s="267">
        <f>+SUM(D299:D301)</f>
        <v>7.65</v>
      </c>
      <c r="E298" s="265">
        <f t="shared" si="130"/>
        <v>1.0576870903808619</v>
      </c>
      <c r="F298" s="267"/>
      <c r="G298" s="267"/>
      <c r="H298" s="267"/>
      <c r="I298" s="267"/>
      <c r="J298" s="267"/>
      <c r="K298" s="291"/>
      <c r="L298" s="158"/>
    </row>
    <row r="299" spans="1:39" hidden="1" x14ac:dyDescent="0.25">
      <c r="A299" s="274"/>
      <c r="B299" s="278"/>
      <c r="C299" s="274" t="s">
        <v>845</v>
      </c>
      <c r="D299" s="276">
        <v>2.52</v>
      </c>
      <c r="E299" s="279">
        <f t="shared" si="130"/>
        <v>0.34841457094898987</v>
      </c>
      <c r="F299" s="276"/>
      <c r="G299" s="276"/>
      <c r="H299" s="276"/>
      <c r="I299" s="276"/>
      <c r="J299" s="276"/>
      <c r="K299" s="296"/>
      <c r="L299" s="158"/>
    </row>
    <row r="300" spans="1:39" hidden="1" x14ac:dyDescent="0.25">
      <c r="A300" s="274"/>
      <c r="B300" s="278"/>
      <c r="C300" s="274" t="s">
        <v>846</v>
      </c>
      <c r="D300" s="276">
        <v>3.19</v>
      </c>
      <c r="E300" s="279">
        <f t="shared" si="130"/>
        <v>0.44104860370130061</v>
      </c>
      <c r="F300" s="276"/>
      <c r="G300" s="276"/>
      <c r="H300" s="276"/>
      <c r="I300" s="276"/>
      <c r="J300" s="276"/>
      <c r="K300" s="296"/>
      <c r="L300" s="158"/>
    </row>
    <row r="301" spans="1:39" hidden="1" x14ac:dyDescent="0.25">
      <c r="A301" s="274"/>
      <c r="B301" s="278"/>
      <c r="C301" s="274" t="s">
        <v>847</v>
      </c>
      <c r="D301" s="276">
        <v>1.94</v>
      </c>
      <c r="E301" s="279">
        <f t="shared" si="130"/>
        <v>0.26822391573057153</v>
      </c>
      <c r="F301" s="276"/>
      <c r="G301" s="276"/>
      <c r="H301" s="276"/>
      <c r="I301" s="276"/>
      <c r="J301" s="276"/>
      <c r="K301" s="296"/>
      <c r="L301" s="158"/>
    </row>
    <row r="302" spans="1:39" s="56" customFormat="1" ht="20.65" customHeight="1" x14ac:dyDescent="0.2">
      <c r="A302" s="261">
        <v>10</v>
      </c>
      <c r="B302" s="266" t="s">
        <v>105</v>
      </c>
      <c r="C302" s="261"/>
      <c r="D302" s="267">
        <f>+SUM(D303:D307)</f>
        <v>2.34</v>
      </c>
      <c r="E302" s="265">
        <f t="shared" si="130"/>
        <v>0.32352781588120483</v>
      </c>
      <c r="F302" s="267">
        <f>+F303</f>
        <v>40</v>
      </c>
      <c r="G302" s="267">
        <f>+D302*F302/100</f>
        <v>0.93599999999999994</v>
      </c>
      <c r="H302" s="267">
        <f>+G302*J302</f>
        <v>0.93599999999999994</v>
      </c>
      <c r="I302" s="267">
        <f t="shared" si="118"/>
        <v>0.4</v>
      </c>
      <c r="J302" s="267">
        <f>+J303</f>
        <v>1</v>
      </c>
      <c r="K302" s="291"/>
      <c r="L302" s="176"/>
      <c r="M302" s="176"/>
      <c r="N302" s="174"/>
      <c r="O302" s="176"/>
      <c r="P302" s="176"/>
      <c r="Q302" s="176"/>
      <c r="R302" s="176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5"/>
      <c r="AE302" s="175"/>
      <c r="AF302" s="175"/>
      <c r="AG302" s="175"/>
      <c r="AH302" s="175"/>
      <c r="AI302" s="175"/>
      <c r="AJ302" s="175"/>
      <c r="AK302" s="190"/>
      <c r="AL302" s="190"/>
      <c r="AM302" s="190"/>
    </row>
    <row r="303" spans="1:39" hidden="1" x14ac:dyDescent="0.25">
      <c r="A303" s="274"/>
      <c r="B303" s="278"/>
      <c r="C303" s="274" t="s">
        <v>344</v>
      </c>
      <c r="D303" s="276">
        <v>0.24</v>
      </c>
      <c r="E303" s="279">
        <f t="shared" si="130"/>
        <v>3.3182340090379979E-2</v>
      </c>
      <c r="F303" s="276">
        <v>40</v>
      </c>
      <c r="G303" s="276">
        <f>+D303*F303/100</f>
        <v>9.6000000000000002E-2</v>
      </c>
      <c r="H303" s="276">
        <f>+G303*J303</f>
        <v>9.6000000000000002E-2</v>
      </c>
      <c r="I303" s="276">
        <f t="shared" si="118"/>
        <v>0.4</v>
      </c>
      <c r="J303" s="276">
        <v>1</v>
      </c>
      <c r="K303" s="296"/>
      <c r="L303" s="158"/>
    </row>
    <row r="304" spans="1:39" hidden="1" x14ac:dyDescent="0.25">
      <c r="A304" s="274"/>
      <c r="B304" s="278"/>
      <c r="C304" s="274" t="s">
        <v>139</v>
      </c>
      <c r="D304" s="276">
        <v>0.09</v>
      </c>
      <c r="E304" s="279">
        <f t="shared" si="130"/>
        <v>1.2443377533892495E-2</v>
      </c>
      <c r="F304" s="276">
        <v>40</v>
      </c>
      <c r="G304" s="276">
        <f t="shared" ref="G304:G305" si="136">+D304*F304/100</f>
        <v>3.5999999999999997E-2</v>
      </c>
      <c r="H304" s="276">
        <f t="shared" ref="H304:H305" si="137">+G304*J304</f>
        <v>3.5999999999999997E-2</v>
      </c>
      <c r="I304" s="276">
        <f t="shared" si="118"/>
        <v>0.39999999999999997</v>
      </c>
      <c r="J304" s="276">
        <v>1</v>
      </c>
      <c r="K304" s="296"/>
      <c r="L304" s="158"/>
    </row>
    <row r="305" spans="1:39" hidden="1" x14ac:dyDescent="0.25">
      <c r="A305" s="274"/>
      <c r="B305" s="278"/>
      <c r="C305" s="274" t="s">
        <v>137</v>
      </c>
      <c r="D305" s="276">
        <v>0.06</v>
      </c>
      <c r="E305" s="279">
        <f t="shared" si="130"/>
        <v>8.2955850225949947E-3</v>
      </c>
      <c r="F305" s="276">
        <v>40</v>
      </c>
      <c r="G305" s="276">
        <f t="shared" si="136"/>
        <v>2.4E-2</v>
      </c>
      <c r="H305" s="276">
        <f t="shared" si="137"/>
        <v>2.4E-2</v>
      </c>
      <c r="I305" s="276">
        <f t="shared" si="118"/>
        <v>0.4</v>
      </c>
      <c r="J305" s="276">
        <v>1</v>
      </c>
      <c r="K305" s="296"/>
      <c r="L305" s="158"/>
    </row>
    <row r="306" spans="1:39" hidden="1" x14ac:dyDescent="0.25">
      <c r="A306" s="274"/>
      <c r="B306" s="278"/>
      <c r="C306" s="274" t="s">
        <v>342</v>
      </c>
      <c r="D306" s="276">
        <v>0.2</v>
      </c>
      <c r="E306" s="279">
        <f t="shared" si="130"/>
        <v>2.7651950075316654E-2</v>
      </c>
      <c r="F306" s="276">
        <v>40</v>
      </c>
      <c r="G306" s="276">
        <f t="shared" ref="G306:G307" si="138">+D306*F306/100</f>
        <v>0.08</v>
      </c>
      <c r="H306" s="276">
        <f t="shared" ref="H306:H307" si="139">+G306*J306</f>
        <v>0.08</v>
      </c>
      <c r="I306" s="276">
        <f t="shared" si="118"/>
        <v>0.39999999999999997</v>
      </c>
      <c r="J306" s="276">
        <v>1</v>
      </c>
      <c r="K306" s="296"/>
      <c r="L306" s="158"/>
    </row>
    <row r="307" spans="1:39" hidden="1" x14ac:dyDescent="0.25">
      <c r="A307" s="274"/>
      <c r="B307" s="278"/>
      <c r="C307" s="274" t="s">
        <v>340</v>
      </c>
      <c r="D307" s="276">
        <v>1.75</v>
      </c>
      <c r="E307" s="279">
        <f t="shared" si="130"/>
        <v>0.24195456315902072</v>
      </c>
      <c r="F307" s="276">
        <v>40</v>
      </c>
      <c r="G307" s="276">
        <f t="shared" si="138"/>
        <v>0.7</v>
      </c>
      <c r="H307" s="276">
        <f t="shared" si="139"/>
        <v>0.7</v>
      </c>
      <c r="I307" s="276">
        <f t="shared" si="118"/>
        <v>0.39999999999999997</v>
      </c>
      <c r="J307" s="276">
        <v>1</v>
      </c>
      <c r="K307" s="296"/>
      <c r="L307" s="158"/>
    </row>
    <row r="308" spans="1:39" s="56" customFormat="1" x14ac:dyDescent="0.2">
      <c r="A308" s="261">
        <v>11</v>
      </c>
      <c r="B308" s="266" t="s">
        <v>709</v>
      </c>
      <c r="C308" s="261"/>
      <c r="D308" s="267">
        <f>+D309+D312+D318</f>
        <v>47.266300000000001</v>
      </c>
      <c r="E308" s="265">
        <f t="shared" si="130"/>
        <v>6.5350268392246971</v>
      </c>
      <c r="F308" s="267"/>
      <c r="G308" s="267">
        <f>+G309</f>
        <v>5.48</v>
      </c>
      <c r="H308" s="267"/>
      <c r="I308" s="267"/>
      <c r="J308" s="267"/>
      <c r="K308" s="291"/>
      <c r="L308" s="176"/>
      <c r="M308" s="176"/>
      <c r="N308" s="174"/>
      <c r="O308" s="176"/>
      <c r="P308" s="176"/>
      <c r="Q308" s="176"/>
      <c r="R308" s="176"/>
      <c r="S308" s="175"/>
      <c r="T308" s="175"/>
      <c r="U308" s="175"/>
      <c r="V308" s="175"/>
      <c r="W308" s="175"/>
      <c r="X308" s="175"/>
      <c r="Y308" s="175"/>
      <c r="Z308" s="175"/>
      <c r="AA308" s="175"/>
      <c r="AB308" s="175"/>
      <c r="AC308" s="175"/>
      <c r="AD308" s="175"/>
      <c r="AE308" s="175"/>
      <c r="AF308" s="175"/>
      <c r="AG308" s="175"/>
      <c r="AH308" s="175"/>
      <c r="AI308" s="175"/>
      <c r="AJ308" s="175"/>
      <c r="AK308" s="190"/>
      <c r="AL308" s="190"/>
      <c r="AM308" s="190"/>
    </row>
    <row r="309" spans="1:39" s="54" customFormat="1" x14ac:dyDescent="0.25">
      <c r="A309" s="269">
        <v>11.1</v>
      </c>
      <c r="B309" s="270" t="s">
        <v>94</v>
      </c>
      <c r="C309" s="269"/>
      <c r="D309" s="271">
        <f>+SUM(D310:D311)</f>
        <v>21.92</v>
      </c>
      <c r="E309" s="292">
        <f t="shared" si="130"/>
        <v>3.0306537282547055</v>
      </c>
      <c r="F309" s="271"/>
      <c r="G309" s="271">
        <f>+G310+G311</f>
        <v>5.48</v>
      </c>
      <c r="H309" s="271"/>
      <c r="I309" s="271"/>
      <c r="J309" s="271"/>
      <c r="K309" s="293"/>
      <c r="L309" s="180"/>
      <c r="M309" s="180"/>
      <c r="N309" s="178"/>
      <c r="O309" s="180"/>
      <c r="P309" s="180"/>
      <c r="Q309" s="180"/>
      <c r="R309" s="180"/>
      <c r="S309" s="179"/>
      <c r="T309" s="179"/>
      <c r="U309" s="179"/>
      <c r="V309" s="179"/>
      <c r="W309" s="179"/>
      <c r="X309" s="179"/>
      <c r="Y309" s="179"/>
      <c r="Z309" s="179"/>
      <c r="AA309" s="179"/>
      <c r="AB309" s="179"/>
      <c r="AC309" s="179"/>
      <c r="AD309" s="179"/>
      <c r="AE309" s="179"/>
      <c r="AF309" s="179"/>
      <c r="AG309" s="179"/>
      <c r="AH309" s="179"/>
      <c r="AI309" s="179"/>
      <c r="AJ309" s="179"/>
      <c r="AK309" s="191"/>
      <c r="AL309" s="191"/>
      <c r="AM309" s="191"/>
    </row>
    <row r="310" spans="1:39" hidden="1" x14ac:dyDescent="0.25">
      <c r="A310" s="274"/>
      <c r="B310" s="278"/>
      <c r="C310" s="274" t="s">
        <v>204</v>
      </c>
      <c r="D310" s="276">
        <v>8.1300000000000008</v>
      </c>
      <c r="E310" s="279">
        <f t="shared" si="130"/>
        <v>1.124051770561622</v>
      </c>
      <c r="F310" s="276">
        <v>25</v>
      </c>
      <c r="G310" s="276">
        <f t="shared" ref="G310" si="140">+D310*F310/100</f>
        <v>2.0325000000000002</v>
      </c>
      <c r="H310" s="276">
        <f t="shared" ref="H310" si="141">+G310*J310</f>
        <v>10.162500000000001</v>
      </c>
      <c r="I310" s="276">
        <f>+H310/D310</f>
        <v>1.25</v>
      </c>
      <c r="J310" s="276">
        <v>5</v>
      </c>
      <c r="K310" s="296"/>
      <c r="L310" s="158"/>
    </row>
    <row r="311" spans="1:39" hidden="1" x14ac:dyDescent="0.25">
      <c r="A311" s="274"/>
      <c r="B311" s="278"/>
      <c r="C311" s="274" t="s">
        <v>202</v>
      </c>
      <c r="D311" s="276">
        <v>13.79</v>
      </c>
      <c r="E311" s="279">
        <f t="shared" ref="E311" si="142">+D311/$D$3*100</f>
        <v>1.906601957693083</v>
      </c>
      <c r="F311" s="276">
        <v>25</v>
      </c>
      <c r="G311" s="276">
        <f t="shared" ref="G311" si="143">+D311*F311/100</f>
        <v>3.4474999999999998</v>
      </c>
      <c r="H311" s="276">
        <f t="shared" ref="H311" si="144">+G311*J311</f>
        <v>17.237499999999997</v>
      </c>
      <c r="I311" s="276">
        <f>+H311/D311</f>
        <v>1.2499999999999998</v>
      </c>
      <c r="J311" s="276">
        <v>5</v>
      </c>
      <c r="K311" s="296"/>
      <c r="L311" s="158"/>
    </row>
    <row r="312" spans="1:39" s="54" customFormat="1" x14ac:dyDescent="0.25">
      <c r="A312" s="269">
        <v>11.2</v>
      </c>
      <c r="B312" s="270" t="s">
        <v>95</v>
      </c>
      <c r="C312" s="269"/>
      <c r="D312" s="271">
        <f>+SUM(D313:D317)</f>
        <v>6.6762999999999995</v>
      </c>
      <c r="E312" s="292">
        <f t="shared" si="130"/>
        <v>0.92306357143918283</v>
      </c>
      <c r="F312" s="271"/>
      <c r="G312" s="271"/>
      <c r="H312" s="271"/>
      <c r="I312" s="271"/>
      <c r="J312" s="271"/>
      <c r="K312" s="293"/>
      <c r="L312" s="180"/>
      <c r="M312" s="180"/>
      <c r="N312" s="178"/>
      <c r="O312" s="180"/>
      <c r="P312" s="180"/>
      <c r="Q312" s="180"/>
      <c r="R312" s="180"/>
      <c r="S312" s="179"/>
      <c r="T312" s="179"/>
      <c r="U312" s="179"/>
      <c r="V312" s="179"/>
      <c r="W312" s="179"/>
      <c r="X312" s="179"/>
      <c r="Y312" s="179"/>
      <c r="Z312" s="179"/>
      <c r="AA312" s="179"/>
      <c r="AB312" s="179"/>
      <c r="AC312" s="179"/>
      <c r="AD312" s="179"/>
      <c r="AE312" s="179"/>
      <c r="AF312" s="179"/>
      <c r="AG312" s="179"/>
      <c r="AH312" s="179"/>
      <c r="AI312" s="179"/>
      <c r="AJ312" s="179"/>
      <c r="AK312" s="191"/>
      <c r="AL312" s="191"/>
      <c r="AM312" s="191"/>
    </row>
    <row r="313" spans="1:39" hidden="1" x14ac:dyDescent="0.25">
      <c r="A313" s="274"/>
      <c r="B313" s="278"/>
      <c r="C313" s="274" t="s">
        <v>208</v>
      </c>
      <c r="D313" s="276">
        <v>3.3212000000000002</v>
      </c>
      <c r="E313" s="279">
        <f t="shared" si="130"/>
        <v>0.4591882829507084</v>
      </c>
      <c r="F313" s="276"/>
      <c r="G313" s="276"/>
      <c r="H313" s="276"/>
      <c r="I313" s="276"/>
      <c r="J313" s="276"/>
      <c r="K313" s="296"/>
      <c r="L313" s="158"/>
      <c r="N313" s="158">
        <f>+D336+D192+D89</f>
        <v>97.70845700000001</v>
      </c>
    </row>
    <row r="314" spans="1:39" hidden="1" x14ac:dyDescent="0.25">
      <c r="A314" s="274"/>
      <c r="B314" s="278"/>
      <c r="C314" s="274" t="s">
        <v>206</v>
      </c>
      <c r="D314" s="276">
        <v>0.47510000000000002</v>
      </c>
      <c r="E314" s="279">
        <f t="shared" si="130"/>
        <v>6.5687207403914719E-2</v>
      </c>
      <c r="F314" s="276"/>
      <c r="G314" s="276"/>
      <c r="H314" s="276"/>
      <c r="I314" s="276"/>
      <c r="J314" s="276"/>
      <c r="K314" s="296"/>
      <c r="L314" s="158"/>
    </row>
    <row r="315" spans="1:39" hidden="1" x14ac:dyDescent="0.25">
      <c r="A315" s="274"/>
      <c r="B315" s="278"/>
      <c r="C315" s="274" t="s">
        <v>838</v>
      </c>
      <c r="D315" s="276">
        <v>0.91</v>
      </c>
      <c r="E315" s="279">
        <f t="shared" ref="E315:E317" si="145">+D315/$D$3*100</f>
        <v>0.12581637284269079</v>
      </c>
      <c r="F315" s="276"/>
      <c r="G315" s="276"/>
      <c r="H315" s="276"/>
      <c r="I315" s="276"/>
      <c r="J315" s="276"/>
      <c r="K315" s="296"/>
      <c r="L315" s="158"/>
    </row>
    <row r="316" spans="1:39" hidden="1" x14ac:dyDescent="0.25">
      <c r="A316" s="274"/>
      <c r="B316" s="278"/>
      <c r="C316" s="274" t="s">
        <v>839</v>
      </c>
      <c r="D316" s="276">
        <v>1.17</v>
      </c>
      <c r="E316" s="279">
        <f t="shared" si="145"/>
        <v>0.16176390794060241</v>
      </c>
      <c r="F316" s="276"/>
      <c r="G316" s="276"/>
      <c r="H316" s="276"/>
      <c r="I316" s="276"/>
      <c r="J316" s="276"/>
      <c r="K316" s="296"/>
      <c r="L316" s="158"/>
    </row>
    <row r="317" spans="1:39" hidden="1" x14ac:dyDescent="0.25">
      <c r="A317" s="274"/>
      <c r="B317" s="278"/>
      <c r="C317" s="274" t="s">
        <v>840</v>
      </c>
      <c r="D317" s="276">
        <v>0.8</v>
      </c>
      <c r="E317" s="279">
        <f t="shared" si="145"/>
        <v>0.11060780030126661</v>
      </c>
      <c r="F317" s="276"/>
      <c r="G317" s="276"/>
      <c r="H317" s="276"/>
      <c r="I317" s="276"/>
      <c r="J317" s="276"/>
      <c r="K317" s="296"/>
      <c r="L317" s="158"/>
    </row>
    <row r="318" spans="1:39" s="54" customFormat="1" x14ac:dyDescent="0.25">
      <c r="A318" s="269">
        <v>11.3</v>
      </c>
      <c r="B318" s="270" t="s">
        <v>53</v>
      </c>
      <c r="C318" s="269"/>
      <c r="D318" s="271">
        <f>+SUM(D319:D328)</f>
        <v>18.670000000000002</v>
      </c>
      <c r="E318" s="292">
        <f t="shared" si="130"/>
        <v>2.5813095395308094</v>
      </c>
      <c r="F318" s="271"/>
      <c r="G318" s="271"/>
      <c r="H318" s="271"/>
      <c r="I318" s="271"/>
      <c r="J318" s="271"/>
      <c r="K318" s="293"/>
      <c r="L318" s="180"/>
      <c r="M318" s="180"/>
      <c r="N318" s="178"/>
      <c r="O318" s="180"/>
      <c r="P318" s="180"/>
      <c r="Q318" s="180"/>
      <c r="R318" s="180"/>
      <c r="S318" s="179"/>
      <c r="T318" s="179"/>
      <c r="U318" s="179"/>
      <c r="V318" s="179"/>
      <c r="W318" s="179"/>
      <c r="X318" s="179"/>
      <c r="Y318" s="179"/>
      <c r="Z318" s="179"/>
      <c r="AA318" s="179"/>
      <c r="AB318" s="179"/>
      <c r="AC318" s="179"/>
      <c r="AD318" s="179"/>
      <c r="AE318" s="179"/>
      <c r="AF318" s="179"/>
      <c r="AG318" s="179"/>
      <c r="AH318" s="179"/>
      <c r="AI318" s="179"/>
      <c r="AJ318" s="179"/>
      <c r="AK318" s="191"/>
      <c r="AL318" s="191"/>
      <c r="AM318" s="191"/>
    </row>
    <row r="319" spans="1:39" hidden="1" x14ac:dyDescent="0.25">
      <c r="A319" s="274"/>
      <c r="B319" s="278"/>
      <c r="C319" s="274" t="s">
        <v>242</v>
      </c>
      <c r="D319" s="276">
        <v>0.76</v>
      </c>
      <c r="E319" s="279">
        <f t="shared" si="130"/>
        <v>0.10507741028620329</v>
      </c>
      <c r="F319" s="276"/>
      <c r="G319" s="276"/>
      <c r="H319" s="276"/>
      <c r="I319" s="276"/>
      <c r="J319" s="276"/>
      <c r="K319" s="296"/>
      <c r="L319" s="158"/>
    </row>
    <row r="320" spans="1:39" hidden="1" x14ac:dyDescent="0.25">
      <c r="A320" s="274"/>
      <c r="B320" s="278"/>
      <c r="C320" s="274" t="s">
        <v>150</v>
      </c>
      <c r="D320" s="276">
        <v>0.81</v>
      </c>
      <c r="E320" s="279">
        <f t="shared" si="130"/>
        <v>0.11199039780503245</v>
      </c>
      <c r="F320" s="276"/>
      <c r="G320" s="276"/>
      <c r="H320" s="276"/>
      <c r="I320" s="276"/>
      <c r="J320" s="276"/>
      <c r="K320" s="296"/>
      <c r="L320" s="158"/>
    </row>
    <row r="321" spans="1:39" hidden="1" x14ac:dyDescent="0.25">
      <c r="A321" s="274"/>
      <c r="B321" s="278"/>
      <c r="C321" s="274" t="s">
        <v>238</v>
      </c>
      <c r="D321" s="276">
        <v>2.63</v>
      </c>
      <c r="E321" s="279">
        <f t="shared" si="130"/>
        <v>0.36362314349041397</v>
      </c>
      <c r="F321" s="276"/>
      <c r="G321" s="276"/>
      <c r="H321" s="276"/>
      <c r="I321" s="276"/>
      <c r="J321" s="276"/>
      <c r="K321" s="296"/>
      <c r="L321" s="158"/>
    </row>
    <row r="322" spans="1:39" hidden="1" x14ac:dyDescent="0.25">
      <c r="A322" s="274"/>
      <c r="B322" s="278"/>
      <c r="C322" s="274" t="s">
        <v>240</v>
      </c>
      <c r="D322" s="276">
        <v>2.42</v>
      </c>
      <c r="E322" s="279">
        <f t="shared" si="130"/>
        <v>0.3345885959113315</v>
      </c>
      <c r="F322" s="276"/>
      <c r="G322" s="276"/>
      <c r="H322" s="276"/>
      <c r="I322" s="276"/>
      <c r="J322" s="276"/>
      <c r="K322" s="296"/>
      <c r="L322" s="158"/>
    </row>
    <row r="323" spans="1:39" hidden="1" x14ac:dyDescent="0.25">
      <c r="A323" s="274"/>
      <c r="B323" s="278"/>
      <c r="C323" s="274" t="s">
        <v>236</v>
      </c>
      <c r="D323" s="276">
        <v>1.82</v>
      </c>
      <c r="E323" s="279">
        <f t="shared" si="130"/>
        <v>0.25163274568538158</v>
      </c>
      <c r="F323" s="276"/>
      <c r="G323" s="276"/>
      <c r="H323" s="276"/>
      <c r="I323" s="276"/>
      <c r="J323" s="276"/>
      <c r="K323" s="296"/>
      <c r="L323" s="158"/>
    </row>
    <row r="324" spans="1:39" hidden="1" x14ac:dyDescent="0.25">
      <c r="A324" s="274"/>
      <c r="B324" s="278"/>
      <c r="C324" s="274" t="s">
        <v>234</v>
      </c>
      <c r="D324" s="276">
        <v>2.31</v>
      </c>
      <c r="E324" s="279">
        <f t="shared" si="130"/>
        <v>0.31938002336990734</v>
      </c>
      <c r="F324" s="276"/>
      <c r="G324" s="276"/>
      <c r="H324" s="276"/>
      <c r="I324" s="276"/>
      <c r="J324" s="276"/>
      <c r="K324" s="296"/>
      <c r="L324" s="158"/>
    </row>
    <row r="325" spans="1:39" hidden="1" x14ac:dyDescent="0.25">
      <c r="A325" s="274"/>
      <c r="B325" s="278"/>
      <c r="C325" s="274" t="s">
        <v>148</v>
      </c>
      <c r="D325" s="276">
        <v>1.1499999999999999</v>
      </c>
      <c r="E325" s="279">
        <f t="shared" si="130"/>
        <v>0.15899871293307075</v>
      </c>
      <c r="F325" s="276"/>
      <c r="G325" s="276"/>
      <c r="H325" s="276"/>
      <c r="I325" s="276"/>
      <c r="J325" s="276"/>
      <c r="K325" s="296"/>
      <c r="L325" s="158"/>
    </row>
    <row r="326" spans="1:39" hidden="1" x14ac:dyDescent="0.25">
      <c r="A326" s="274"/>
      <c r="B326" s="278"/>
      <c r="C326" s="274" t="s">
        <v>146</v>
      </c>
      <c r="D326" s="276">
        <v>0.46</v>
      </c>
      <c r="E326" s="279">
        <f t="shared" si="130"/>
        <v>6.3599485173228304E-2</v>
      </c>
      <c r="F326" s="276"/>
      <c r="G326" s="276"/>
      <c r="H326" s="276"/>
      <c r="I326" s="276"/>
      <c r="J326" s="276"/>
      <c r="K326" s="296"/>
      <c r="L326" s="158"/>
    </row>
    <row r="327" spans="1:39" hidden="1" x14ac:dyDescent="0.25">
      <c r="A327" s="274"/>
      <c r="B327" s="278"/>
      <c r="C327" s="274" t="s">
        <v>232</v>
      </c>
      <c r="D327" s="276">
        <v>3.16</v>
      </c>
      <c r="E327" s="279">
        <f t="shared" si="130"/>
        <v>0.43690081119000312</v>
      </c>
      <c r="F327" s="276"/>
      <c r="G327" s="276"/>
      <c r="H327" s="276"/>
      <c r="I327" s="276"/>
      <c r="J327" s="276"/>
      <c r="K327" s="296"/>
      <c r="L327" s="158"/>
    </row>
    <row r="328" spans="1:39" hidden="1" x14ac:dyDescent="0.25">
      <c r="A328" s="274"/>
      <c r="B328" s="278"/>
      <c r="C328" s="274" t="s">
        <v>230</v>
      </c>
      <c r="D328" s="276">
        <v>3.15</v>
      </c>
      <c r="E328" s="279">
        <f t="shared" si="130"/>
        <v>0.43551821368623728</v>
      </c>
      <c r="F328" s="276"/>
      <c r="G328" s="276"/>
      <c r="H328" s="276"/>
      <c r="I328" s="276"/>
      <c r="J328" s="276"/>
      <c r="K328" s="296"/>
      <c r="L328" s="158"/>
    </row>
    <row r="329" spans="1:39" s="91" customFormat="1" ht="19.5" customHeight="1" x14ac:dyDescent="0.2">
      <c r="A329" s="263" t="s">
        <v>608</v>
      </c>
      <c r="B329" s="264" t="s">
        <v>624</v>
      </c>
      <c r="C329" s="263"/>
      <c r="D329" s="265">
        <f>+D330</f>
        <v>2.79</v>
      </c>
      <c r="E329" s="265">
        <f t="shared" si="130"/>
        <v>0.38574470355066731</v>
      </c>
      <c r="F329" s="265"/>
      <c r="G329" s="265"/>
      <c r="H329" s="265"/>
      <c r="I329" s="265"/>
      <c r="J329" s="265"/>
      <c r="K329" s="290"/>
      <c r="L329" s="170"/>
      <c r="M329" s="170"/>
      <c r="N329" s="171"/>
      <c r="O329" s="170"/>
      <c r="P329" s="170"/>
      <c r="Q329" s="170"/>
      <c r="R329" s="170"/>
      <c r="S329" s="170"/>
      <c r="T329" s="170"/>
      <c r="U329" s="170"/>
      <c r="V329" s="170"/>
      <c r="W329" s="170"/>
      <c r="X329" s="170"/>
      <c r="Y329" s="170"/>
      <c r="Z329" s="170"/>
      <c r="AA329" s="170"/>
      <c r="AB329" s="170"/>
      <c r="AC329" s="170"/>
      <c r="AD329" s="170"/>
      <c r="AE329" s="170"/>
      <c r="AF329" s="170"/>
      <c r="AG329" s="170"/>
      <c r="AH329" s="170"/>
      <c r="AI329" s="170"/>
      <c r="AJ329" s="170"/>
      <c r="AK329" s="172"/>
      <c r="AL329" s="173"/>
      <c r="AM329" s="173"/>
    </row>
    <row r="330" spans="1:39" s="56" customFormat="1" x14ac:dyDescent="0.2">
      <c r="A330" s="261">
        <v>1</v>
      </c>
      <c r="B330" s="266" t="s">
        <v>120</v>
      </c>
      <c r="C330" s="261"/>
      <c r="D330" s="267">
        <f>+SUM(D331:D335)</f>
        <v>2.79</v>
      </c>
      <c r="E330" s="265">
        <f t="shared" si="130"/>
        <v>0.38574470355066731</v>
      </c>
      <c r="F330" s="267"/>
      <c r="G330" s="267"/>
      <c r="H330" s="267"/>
      <c r="I330" s="267"/>
      <c r="J330" s="267"/>
      <c r="K330" s="291"/>
      <c r="L330" s="176"/>
      <c r="M330" s="176"/>
      <c r="N330" s="174"/>
      <c r="O330" s="176"/>
      <c r="P330" s="176"/>
      <c r="Q330" s="176"/>
      <c r="R330" s="176"/>
      <c r="S330" s="175"/>
      <c r="T330" s="175"/>
      <c r="U330" s="175"/>
      <c r="V330" s="175"/>
      <c r="W330" s="175"/>
      <c r="X330" s="175"/>
      <c r="Y330" s="175"/>
      <c r="Z330" s="175"/>
      <c r="AA330" s="175"/>
      <c r="AB330" s="175"/>
      <c r="AC330" s="175"/>
      <c r="AD330" s="175"/>
      <c r="AE330" s="175"/>
      <c r="AF330" s="175"/>
      <c r="AG330" s="175"/>
      <c r="AH330" s="175"/>
      <c r="AI330" s="175"/>
      <c r="AJ330" s="175"/>
      <c r="AK330" s="190"/>
      <c r="AL330" s="190"/>
      <c r="AM330" s="190"/>
    </row>
    <row r="331" spans="1:39" hidden="1" x14ac:dyDescent="0.25">
      <c r="A331" s="274"/>
      <c r="B331" s="278"/>
      <c r="C331" s="274" t="s">
        <v>186</v>
      </c>
      <c r="D331" s="276">
        <v>0.54</v>
      </c>
      <c r="E331" s="279">
        <f t="shared" si="130"/>
        <v>7.4660265203354975E-2</v>
      </c>
      <c r="F331" s="276"/>
      <c r="G331" s="276"/>
      <c r="H331" s="276"/>
      <c r="I331" s="276"/>
      <c r="J331" s="276"/>
      <c r="K331" s="296"/>
      <c r="L331" s="158"/>
    </row>
    <row r="332" spans="1:39" hidden="1" x14ac:dyDescent="0.25">
      <c r="A332" s="274"/>
      <c r="B332" s="278"/>
      <c r="C332" s="274" t="s">
        <v>184</v>
      </c>
      <c r="D332" s="276">
        <v>0.74</v>
      </c>
      <c r="E332" s="279">
        <f t="shared" si="130"/>
        <v>0.10231221527867163</v>
      </c>
      <c r="F332" s="276"/>
      <c r="G332" s="276"/>
      <c r="H332" s="276"/>
      <c r="I332" s="276"/>
      <c r="J332" s="276"/>
      <c r="K332" s="296"/>
      <c r="L332" s="158"/>
    </row>
    <row r="333" spans="1:39" hidden="1" x14ac:dyDescent="0.25">
      <c r="A333" s="274"/>
      <c r="B333" s="278"/>
      <c r="C333" s="274" t="s">
        <v>182</v>
      </c>
      <c r="D333" s="276">
        <v>0.73</v>
      </c>
      <c r="E333" s="279">
        <f t="shared" si="130"/>
        <v>0.10092961777490579</v>
      </c>
      <c r="F333" s="276"/>
      <c r="G333" s="276"/>
      <c r="H333" s="276"/>
      <c r="I333" s="276"/>
      <c r="J333" s="276"/>
      <c r="K333" s="296"/>
      <c r="L333" s="158"/>
    </row>
    <row r="334" spans="1:39" hidden="1" x14ac:dyDescent="0.25">
      <c r="A334" s="274"/>
      <c r="B334" s="278"/>
      <c r="C334" s="274" t="s">
        <v>180</v>
      </c>
      <c r="D334" s="276">
        <v>0.35</v>
      </c>
      <c r="E334" s="279">
        <f t="shared" si="130"/>
        <v>4.8390912631804138E-2</v>
      </c>
      <c r="F334" s="276"/>
      <c r="G334" s="276"/>
      <c r="H334" s="276"/>
      <c r="I334" s="276"/>
      <c r="J334" s="276"/>
      <c r="K334" s="296"/>
      <c r="L334" s="158"/>
    </row>
    <row r="335" spans="1:39" hidden="1" x14ac:dyDescent="0.25">
      <c r="A335" s="274"/>
      <c r="B335" s="278"/>
      <c r="C335" s="274" t="s">
        <v>178</v>
      </c>
      <c r="D335" s="276">
        <v>0.43</v>
      </c>
      <c r="E335" s="279">
        <f t="shared" si="130"/>
        <v>5.9451692661930802E-2</v>
      </c>
      <c r="F335" s="276"/>
      <c r="G335" s="276"/>
      <c r="H335" s="276"/>
      <c r="I335" s="276"/>
      <c r="J335" s="276"/>
      <c r="K335" s="296"/>
      <c r="L335" s="158"/>
    </row>
    <row r="336" spans="1:39" s="91" customFormat="1" ht="20.25" customHeight="1" x14ac:dyDescent="0.2">
      <c r="A336" s="261" t="s">
        <v>623</v>
      </c>
      <c r="B336" s="266" t="s">
        <v>605</v>
      </c>
      <c r="C336" s="261"/>
      <c r="D336" s="262">
        <f>+D193-D194-D269-D329</f>
        <v>44.422813999999981</v>
      </c>
      <c r="E336" s="265">
        <f t="shared" si="130"/>
        <v>6.1418871746653858</v>
      </c>
      <c r="F336" s="262"/>
      <c r="G336" s="262"/>
      <c r="H336" s="262"/>
      <c r="I336" s="262"/>
      <c r="J336" s="262"/>
      <c r="K336" s="290"/>
      <c r="L336" s="170"/>
      <c r="M336" s="170"/>
      <c r="N336" s="171"/>
      <c r="O336" s="170"/>
      <c r="P336" s="170"/>
      <c r="Q336" s="170"/>
      <c r="R336" s="170"/>
      <c r="S336" s="170"/>
      <c r="T336" s="170"/>
      <c r="U336" s="170"/>
      <c r="V336" s="170"/>
      <c r="W336" s="170"/>
      <c r="X336" s="170"/>
      <c r="Y336" s="170"/>
      <c r="Z336" s="170"/>
      <c r="AA336" s="170"/>
      <c r="AB336" s="170"/>
      <c r="AC336" s="170"/>
      <c r="AD336" s="170"/>
      <c r="AE336" s="170"/>
      <c r="AF336" s="170"/>
      <c r="AG336" s="170"/>
      <c r="AH336" s="170"/>
      <c r="AI336" s="170"/>
      <c r="AJ336" s="170"/>
      <c r="AK336" s="172"/>
      <c r="AL336" s="173"/>
      <c r="AM336" s="173"/>
    </row>
    <row r="337" spans="1:39" s="154" customFormat="1" x14ac:dyDescent="0.25">
      <c r="A337" s="261" t="s">
        <v>864</v>
      </c>
      <c r="B337" s="266" t="s">
        <v>755</v>
      </c>
      <c r="C337" s="261"/>
      <c r="D337" s="267">
        <v>110.14</v>
      </c>
      <c r="E337" s="265">
        <f t="shared" si="130"/>
        <v>15.227928906476881</v>
      </c>
      <c r="F337" s="267">
        <f>+G337*100/D337</f>
        <v>40.683003450154338</v>
      </c>
      <c r="G337" s="267">
        <f>+G338+G388</f>
        <v>44.80825999999999</v>
      </c>
      <c r="H337" s="267"/>
      <c r="I337" s="267"/>
      <c r="J337" s="267"/>
      <c r="K337" s="291">
        <f>+K339</f>
        <v>9454.7285602170232</v>
      </c>
      <c r="L337" s="192"/>
      <c r="M337" s="192"/>
      <c r="N337" s="163"/>
      <c r="O337" s="192"/>
      <c r="P337" s="192"/>
      <c r="Q337" s="192"/>
      <c r="R337" s="192"/>
      <c r="S337" s="192"/>
      <c r="T337" s="192"/>
      <c r="U337" s="192"/>
      <c r="V337" s="192"/>
      <c r="W337" s="192"/>
      <c r="X337" s="192"/>
      <c r="Y337" s="192"/>
      <c r="Z337" s="192"/>
      <c r="AA337" s="192"/>
      <c r="AB337" s="192"/>
      <c r="AC337" s="192"/>
      <c r="AD337" s="192"/>
      <c r="AE337" s="192"/>
      <c r="AF337" s="192"/>
      <c r="AG337" s="192"/>
      <c r="AH337" s="192"/>
      <c r="AI337" s="192"/>
      <c r="AJ337" s="192"/>
      <c r="AK337" s="193"/>
      <c r="AL337" s="193"/>
      <c r="AM337" s="193"/>
    </row>
    <row r="338" spans="1:39" s="154" customFormat="1" ht="19.5" customHeight="1" x14ac:dyDescent="0.25">
      <c r="A338" s="261" t="s">
        <v>606</v>
      </c>
      <c r="B338" s="266" t="s">
        <v>594</v>
      </c>
      <c r="C338" s="261"/>
      <c r="D338" s="267">
        <f>+D339+D382+D385</f>
        <v>68.656400000000005</v>
      </c>
      <c r="E338" s="265">
        <f t="shared" si="130"/>
        <v>9.4924167257548522</v>
      </c>
      <c r="F338" s="267"/>
      <c r="G338" s="267">
        <f>+G339+G381+G385</f>
        <v>38.340339999999991</v>
      </c>
      <c r="H338" s="267"/>
      <c r="I338" s="267"/>
      <c r="J338" s="267"/>
      <c r="K338" s="291"/>
      <c r="L338" s="192"/>
      <c r="M338" s="192"/>
      <c r="N338" s="163"/>
      <c r="O338" s="192"/>
      <c r="P338" s="192"/>
      <c r="Q338" s="192"/>
      <c r="R338" s="192"/>
      <c r="S338" s="192"/>
      <c r="T338" s="192"/>
      <c r="U338" s="192"/>
      <c r="V338" s="192"/>
      <c r="W338" s="192"/>
      <c r="X338" s="192"/>
      <c r="Y338" s="192"/>
      <c r="Z338" s="192"/>
      <c r="AA338" s="192"/>
      <c r="AB338" s="192"/>
      <c r="AC338" s="192"/>
      <c r="AD338" s="192"/>
      <c r="AE338" s="192"/>
      <c r="AF338" s="192"/>
      <c r="AG338" s="192"/>
      <c r="AH338" s="192"/>
      <c r="AI338" s="192"/>
      <c r="AJ338" s="192"/>
      <c r="AK338" s="193"/>
      <c r="AL338" s="193"/>
      <c r="AM338" s="193"/>
    </row>
    <row r="339" spans="1:39" s="156" customFormat="1" x14ac:dyDescent="0.25">
      <c r="A339" s="261">
        <v>1</v>
      </c>
      <c r="B339" s="266" t="s">
        <v>593</v>
      </c>
      <c r="C339" s="261"/>
      <c r="D339" s="267">
        <f>+D340+D357+D376+D379+D380</f>
        <v>63.056400000000004</v>
      </c>
      <c r="E339" s="265">
        <f t="shared" si="130"/>
        <v>8.7181621236459854</v>
      </c>
      <c r="F339" s="267"/>
      <c r="G339" s="267">
        <f>+G340+G357+G376+G379+G380</f>
        <v>37.553839999999994</v>
      </c>
      <c r="H339" s="267"/>
      <c r="I339" s="267"/>
      <c r="J339" s="267"/>
      <c r="K339" s="291">
        <f>+K340+K357</f>
        <v>9454.7285602170232</v>
      </c>
      <c r="L339" s="176"/>
      <c r="M339" s="176"/>
      <c r="N339" s="174"/>
      <c r="O339" s="176"/>
      <c r="P339" s="176"/>
      <c r="Q339" s="176"/>
      <c r="R339" s="176"/>
      <c r="S339" s="176"/>
      <c r="T339" s="176"/>
      <c r="U339" s="176"/>
      <c r="V339" s="176"/>
      <c r="W339" s="176"/>
      <c r="X339" s="176"/>
      <c r="Y339" s="176"/>
      <c r="Z339" s="176"/>
      <c r="AA339" s="176"/>
      <c r="AB339" s="176"/>
      <c r="AC339" s="176"/>
      <c r="AD339" s="176"/>
      <c r="AE339" s="176"/>
      <c r="AF339" s="176"/>
      <c r="AG339" s="176"/>
      <c r="AH339" s="176"/>
      <c r="AI339" s="176"/>
      <c r="AJ339" s="176"/>
      <c r="AK339" s="194"/>
      <c r="AL339" s="194"/>
      <c r="AM339" s="194"/>
    </row>
    <row r="340" spans="1:39" s="157" customFormat="1" x14ac:dyDescent="0.25">
      <c r="A340" s="269" t="s">
        <v>31</v>
      </c>
      <c r="B340" s="270" t="s">
        <v>89</v>
      </c>
      <c r="C340" s="269"/>
      <c r="D340" s="271">
        <f>+D341+D355</f>
        <v>20.9</v>
      </c>
      <c r="E340" s="292">
        <f t="shared" si="130"/>
        <v>2.8896287828705902</v>
      </c>
      <c r="F340" s="271">
        <v>60</v>
      </c>
      <c r="G340" s="271">
        <f>+D340*F340/100</f>
        <v>12.54</v>
      </c>
      <c r="H340" s="271"/>
      <c r="I340" s="271"/>
      <c r="J340" s="271" t="s">
        <v>813</v>
      </c>
      <c r="K340" s="293">
        <f>+N340</f>
        <v>6373.7142857142862</v>
      </c>
      <c r="L340" s="180"/>
      <c r="M340" s="159"/>
      <c r="N340" s="178">
        <f>+N341+N343</f>
        <v>6373.7142857142862</v>
      </c>
      <c r="O340" s="180"/>
      <c r="P340" s="180"/>
      <c r="Q340" s="180"/>
      <c r="R340" s="180"/>
      <c r="S340" s="180"/>
      <c r="T340" s="180"/>
      <c r="U340" s="180"/>
      <c r="V340" s="180"/>
      <c r="W340" s="180"/>
      <c r="X340" s="180"/>
      <c r="Y340" s="180"/>
      <c r="Z340" s="180"/>
      <c r="AA340" s="180"/>
      <c r="AB340" s="180"/>
      <c r="AC340" s="180"/>
      <c r="AD340" s="180"/>
      <c r="AE340" s="180"/>
      <c r="AF340" s="180"/>
      <c r="AG340" s="180"/>
      <c r="AH340" s="180"/>
      <c r="AI340" s="180"/>
      <c r="AJ340" s="180"/>
      <c r="AK340" s="195"/>
      <c r="AL340" s="195"/>
      <c r="AM340" s="195"/>
    </row>
    <row r="341" spans="1:39" s="155" customFormat="1" x14ac:dyDescent="0.25">
      <c r="A341" s="272" t="s">
        <v>707</v>
      </c>
      <c r="B341" s="273" t="s">
        <v>36</v>
      </c>
      <c r="C341" s="272"/>
      <c r="D341" s="275">
        <f>+SUM(D342:D354)</f>
        <v>20.25</v>
      </c>
      <c r="E341" s="294">
        <f t="shared" si="130"/>
        <v>2.7997599451258113</v>
      </c>
      <c r="F341" s="275">
        <v>60</v>
      </c>
      <c r="G341" s="275">
        <f t="shared" ref="G341:G342" si="146">+D341*F341/100</f>
        <v>12.15</v>
      </c>
      <c r="H341" s="275">
        <f>+G341*J341</f>
        <v>85.05</v>
      </c>
      <c r="I341" s="275">
        <f t="shared" ref="I341:I342" si="147">+H341/D341</f>
        <v>4.2</v>
      </c>
      <c r="J341" s="275">
        <v>7</v>
      </c>
      <c r="K341" s="298"/>
      <c r="L341" s="158"/>
      <c r="M341" s="158">
        <f>+D340-M343</f>
        <v>3.3200000000000003</v>
      </c>
      <c r="N341" s="159">
        <f>+M341*10000/28</f>
        <v>1185.7142857142858</v>
      </c>
      <c r="O341" s="158"/>
      <c r="P341" s="158"/>
      <c r="Q341" s="158"/>
      <c r="R341" s="158"/>
      <c r="S341" s="158"/>
      <c r="T341" s="158"/>
      <c r="U341" s="158"/>
      <c r="V341" s="158"/>
      <c r="W341" s="158"/>
      <c r="X341" s="158"/>
      <c r="Y341" s="158"/>
      <c r="Z341" s="158"/>
      <c r="AA341" s="158"/>
      <c r="AB341" s="158"/>
      <c r="AC341" s="158"/>
      <c r="AD341" s="158"/>
      <c r="AE341" s="158"/>
      <c r="AF341" s="158"/>
      <c r="AG341" s="158"/>
      <c r="AH341" s="158"/>
      <c r="AI341" s="158"/>
      <c r="AJ341" s="158"/>
      <c r="AK341" s="196"/>
      <c r="AL341" s="196"/>
      <c r="AM341" s="196"/>
    </row>
    <row r="342" spans="1:39" s="155" customFormat="1" hidden="1" x14ac:dyDescent="0.25">
      <c r="A342" s="274"/>
      <c r="B342" s="278"/>
      <c r="C342" s="274" t="s">
        <v>757</v>
      </c>
      <c r="D342" s="276">
        <v>0.82</v>
      </c>
      <c r="E342" s="279">
        <f t="shared" ref="E342" si="148">+D342/$D$3*100</f>
        <v>0.11337299530879827</v>
      </c>
      <c r="F342" s="276">
        <v>60</v>
      </c>
      <c r="G342" s="276">
        <f t="shared" si="146"/>
        <v>0.49199999999999994</v>
      </c>
      <c r="H342" s="276">
        <f t="shared" ref="H342" si="149">+G342*J342</f>
        <v>3.4439999999999995</v>
      </c>
      <c r="I342" s="276">
        <f t="shared" si="147"/>
        <v>4.1999999999999993</v>
      </c>
      <c r="J342" s="276">
        <v>7</v>
      </c>
      <c r="K342" s="296"/>
      <c r="L342" s="158"/>
      <c r="M342" s="158"/>
      <c r="N342" s="159"/>
      <c r="O342" s="158"/>
      <c r="P342" s="158"/>
      <c r="Q342" s="158"/>
      <c r="R342" s="158"/>
      <c r="S342" s="158"/>
      <c r="T342" s="158"/>
      <c r="U342" s="158"/>
      <c r="V342" s="158"/>
      <c r="W342" s="158"/>
      <c r="X342" s="158"/>
      <c r="Y342" s="158"/>
      <c r="Z342" s="158"/>
      <c r="AA342" s="158"/>
      <c r="AB342" s="158"/>
      <c r="AC342" s="158"/>
      <c r="AD342" s="158"/>
      <c r="AE342" s="158"/>
      <c r="AF342" s="158"/>
      <c r="AG342" s="158"/>
      <c r="AH342" s="158"/>
      <c r="AI342" s="158"/>
      <c r="AJ342" s="158"/>
      <c r="AK342" s="196"/>
      <c r="AL342" s="196"/>
      <c r="AM342" s="196"/>
    </row>
    <row r="343" spans="1:39" s="155" customFormat="1" hidden="1" x14ac:dyDescent="0.25">
      <c r="A343" s="274"/>
      <c r="B343" s="278"/>
      <c r="C343" s="274" t="s">
        <v>758</v>
      </c>
      <c r="D343" s="276">
        <v>0.88</v>
      </c>
      <c r="E343" s="279">
        <f t="shared" si="130"/>
        <v>0.12166858033139329</v>
      </c>
      <c r="F343" s="276">
        <v>60</v>
      </c>
      <c r="G343" s="276">
        <f>+D343*F343/100</f>
        <v>0.52800000000000002</v>
      </c>
      <c r="H343" s="276">
        <f>+G343*J343</f>
        <v>3.6960000000000002</v>
      </c>
      <c r="I343" s="276">
        <f>+H343/D343</f>
        <v>4.2</v>
      </c>
      <c r="J343" s="276">
        <v>7</v>
      </c>
      <c r="K343" s="296"/>
      <c r="L343" s="158"/>
      <c r="M343" s="158">
        <f>+M345+M347+M349+M351</f>
        <v>17.579999999999998</v>
      </c>
      <c r="N343" s="159">
        <f>+N345+N347+N349+N351</f>
        <v>5188</v>
      </c>
      <c r="O343" s="158"/>
      <c r="P343" s="158"/>
      <c r="Q343" s="158"/>
      <c r="R343" s="158"/>
      <c r="S343" s="158"/>
      <c r="T343" s="158"/>
      <c r="U343" s="158"/>
      <c r="V343" s="158"/>
      <c r="W343" s="158"/>
      <c r="X343" s="158"/>
      <c r="Y343" s="158"/>
      <c r="Z343" s="158"/>
      <c r="AA343" s="158"/>
      <c r="AB343" s="158"/>
      <c r="AC343" s="158"/>
      <c r="AD343" s="158"/>
      <c r="AE343" s="158"/>
      <c r="AF343" s="158"/>
      <c r="AG343" s="158"/>
      <c r="AH343" s="158"/>
      <c r="AI343" s="158"/>
      <c r="AJ343" s="158"/>
      <c r="AK343" s="196"/>
      <c r="AL343" s="196"/>
      <c r="AM343" s="196"/>
    </row>
    <row r="344" spans="1:39" s="155" customFormat="1" hidden="1" x14ac:dyDescent="0.25">
      <c r="A344" s="274"/>
      <c r="B344" s="278"/>
      <c r="C344" s="274" t="s">
        <v>759</v>
      </c>
      <c r="D344" s="276">
        <v>0.84</v>
      </c>
      <c r="E344" s="279">
        <f t="shared" si="130"/>
        <v>0.11613819031632994</v>
      </c>
      <c r="F344" s="276">
        <v>60</v>
      </c>
      <c r="G344" s="276">
        <f t="shared" ref="G344:G354" si="150">+D344*F344/100</f>
        <v>0.504</v>
      </c>
      <c r="H344" s="276">
        <f t="shared" ref="H344:H354" si="151">+G344*J344</f>
        <v>3.528</v>
      </c>
      <c r="I344" s="276">
        <f t="shared" ref="I344:I354" si="152">+H344/D344</f>
        <v>4.2</v>
      </c>
      <c r="J344" s="276">
        <v>7</v>
      </c>
      <c r="K344" s="296"/>
      <c r="L344" s="158"/>
      <c r="M344" s="183" t="s">
        <v>786</v>
      </c>
      <c r="N344" s="159"/>
      <c r="O344" s="158"/>
      <c r="P344" s="158"/>
      <c r="Q344" s="158"/>
      <c r="R344" s="158"/>
      <c r="S344" s="158"/>
      <c r="T344" s="158"/>
      <c r="U344" s="158"/>
      <c r="V344" s="158"/>
      <c r="W344" s="158"/>
      <c r="X344" s="158"/>
      <c r="Y344" s="158"/>
      <c r="Z344" s="158"/>
      <c r="AA344" s="158"/>
      <c r="AB344" s="158"/>
      <c r="AC344" s="158"/>
      <c r="AD344" s="158"/>
      <c r="AE344" s="158"/>
      <c r="AF344" s="158"/>
      <c r="AG344" s="158"/>
      <c r="AH344" s="158"/>
      <c r="AI344" s="158"/>
      <c r="AJ344" s="158"/>
      <c r="AK344" s="196"/>
      <c r="AL344" s="196"/>
      <c r="AM344" s="196"/>
    </row>
    <row r="345" spans="1:39" s="155" customFormat="1" hidden="1" x14ac:dyDescent="0.25">
      <c r="A345" s="274"/>
      <c r="B345" s="278"/>
      <c r="C345" s="274" t="s">
        <v>760</v>
      </c>
      <c r="D345" s="276">
        <v>1.1499999999999999</v>
      </c>
      <c r="E345" s="279">
        <f t="shared" si="130"/>
        <v>0.15899871293307075</v>
      </c>
      <c r="F345" s="276">
        <v>60</v>
      </c>
      <c r="G345" s="276">
        <f t="shared" si="150"/>
        <v>0.69</v>
      </c>
      <c r="H345" s="276">
        <f t="shared" si="151"/>
        <v>4.83</v>
      </c>
      <c r="I345" s="276">
        <f t="shared" si="152"/>
        <v>4.2</v>
      </c>
      <c r="J345" s="276">
        <v>7</v>
      </c>
      <c r="K345" s="296"/>
      <c r="L345" s="158"/>
      <c r="M345" s="158">
        <f>+D349+D356</f>
        <v>2.16</v>
      </c>
      <c r="N345" s="159">
        <v>108</v>
      </c>
      <c r="O345" s="158"/>
      <c r="P345" s="158"/>
      <c r="Q345" s="158"/>
      <c r="R345" s="158"/>
      <c r="S345" s="158"/>
      <c r="T345" s="158"/>
      <c r="U345" s="158"/>
      <c r="V345" s="158"/>
      <c r="W345" s="158"/>
      <c r="X345" s="158"/>
      <c r="Y345" s="158"/>
      <c r="Z345" s="158"/>
      <c r="AA345" s="158"/>
      <c r="AB345" s="158"/>
      <c r="AC345" s="158"/>
      <c r="AD345" s="158"/>
      <c r="AE345" s="158"/>
      <c r="AF345" s="158"/>
      <c r="AG345" s="158"/>
      <c r="AH345" s="158"/>
      <c r="AI345" s="158"/>
      <c r="AJ345" s="158"/>
      <c r="AK345" s="196"/>
      <c r="AL345" s="196"/>
      <c r="AM345" s="196"/>
    </row>
    <row r="346" spans="1:39" s="155" customFormat="1" hidden="1" x14ac:dyDescent="0.25">
      <c r="A346" s="274"/>
      <c r="B346" s="278"/>
      <c r="C346" s="274" t="s">
        <v>761</v>
      </c>
      <c r="D346" s="276">
        <v>3</v>
      </c>
      <c r="E346" s="279">
        <f t="shared" si="130"/>
        <v>0.41477925112974984</v>
      </c>
      <c r="F346" s="276">
        <v>60</v>
      </c>
      <c r="G346" s="276">
        <f t="shared" si="150"/>
        <v>1.8</v>
      </c>
      <c r="H346" s="276">
        <f t="shared" si="151"/>
        <v>12.6</v>
      </c>
      <c r="I346" s="276">
        <f t="shared" si="152"/>
        <v>4.2</v>
      </c>
      <c r="J346" s="276">
        <v>7</v>
      </c>
      <c r="K346" s="296"/>
      <c r="L346" s="158"/>
      <c r="M346" s="183" t="s">
        <v>787</v>
      </c>
      <c r="N346" s="159"/>
      <c r="O346" s="158"/>
      <c r="P346" s="158"/>
      <c r="Q346" s="158"/>
      <c r="R346" s="158"/>
      <c r="S346" s="158"/>
      <c r="T346" s="158"/>
      <c r="U346" s="158"/>
      <c r="V346" s="158"/>
      <c r="W346" s="158"/>
      <c r="X346" s="158"/>
      <c r="Y346" s="158"/>
      <c r="Z346" s="158"/>
      <c r="AA346" s="158"/>
      <c r="AB346" s="158"/>
      <c r="AC346" s="158"/>
      <c r="AD346" s="158"/>
      <c r="AE346" s="158"/>
      <c r="AF346" s="158"/>
      <c r="AG346" s="158"/>
      <c r="AH346" s="158"/>
      <c r="AI346" s="158"/>
      <c r="AJ346" s="158"/>
      <c r="AK346" s="196"/>
      <c r="AL346" s="196"/>
      <c r="AM346" s="196"/>
    </row>
    <row r="347" spans="1:39" s="155" customFormat="1" hidden="1" x14ac:dyDescent="0.25">
      <c r="A347" s="274"/>
      <c r="B347" s="278"/>
      <c r="C347" s="274" t="s">
        <v>762</v>
      </c>
      <c r="D347" s="276">
        <v>1.47</v>
      </c>
      <c r="E347" s="279">
        <f t="shared" si="130"/>
        <v>0.2032418330535774</v>
      </c>
      <c r="F347" s="276">
        <v>60</v>
      </c>
      <c r="G347" s="276">
        <f t="shared" si="150"/>
        <v>0.88200000000000001</v>
      </c>
      <c r="H347" s="276">
        <f t="shared" si="151"/>
        <v>6.1740000000000004</v>
      </c>
      <c r="I347" s="276">
        <f t="shared" si="152"/>
        <v>4.2</v>
      </c>
      <c r="J347" s="276">
        <v>7</v>
      </c>
      <c r="K347" s="296"/>
      <c r="L347" s="158"/>
      <c r="M347" s="158">
        <f>+D354</f>
        <v>3.43</v>
      </c>
      <c r="N347" s="159">
        <v>780</v>
      </c>
      <c r="O347" s="158"/>
      <c r="P347" s="158"/>
      <c r="Q347" s="158"/>
      <c r="R347" s="158"/>
      <c r="S347" s="158"/>
      <c r="T347" s="158"/>
      <c r="U347" s="158"/>
      <c r="V347" s="158"/>
      <c r="W347" s="158"/>
      <c r="X347" s="158"/>
      <c r="Y347" s="158"/>
      <c r="Z347" s="158"/>
      <c r="AA347" s="158"/>
      <c r="AB347" s="158"/>
      <c r="AC347" s="158"/>
      <c r="AD347" s="158"/>
      <c r="AE347" s="158"/>
      <c r="AF347" s="158"/>
      <c r="AG347" s="158"/>
      <c r="AH347" s="158"/>
      <c r="AI347" s="158"/>
      <c r="AJ347" s="158"/>
      <c r="AK347" s="196"/>
      <c r="AL347" s="196"/>
      <c r="AM347" s="196"/>
    </row>
    <row r="348" spans="1:39" s="155" customFormat="1" hidden="1" x14ac:dyDescent="0.25">
      <c r="A348" s="274"/>
      <c r="B348" s="278"/>
      <c r="C348" s="274" t="s">
        <v>763</v>
      </c>
      <c r="D348" s="276">
        <v>2.0299999999999998</v>
      </c>
      <c r="E348" s="279">
        <f t="shared" si="130"/>
        <v>0.28066729326446399</v>
      </c>
      <c r="F348" s="276">
        <v>60</v>
      </c>
      <c r="G348" s="276">
        <f t="shared" si="150"/>
        <v>1.2179999999999997</v>
      </c>
      <c r="H348" s="276">
        <f t="shared" si="151"/>
        <v>8.525999999999998</v>
      </c>
      <c r="I348" s="276">
        <f t="shared" si="152"/>
        <v>4.1999999999999993</v>
      </c>
      <c r="J348" s="276">
        <v>7</v>
      </c>
      <c r="K348" s="296"/>
      <c r="L348" s="158"/>
      <c r="M348" s="183" t="s">
        <v>788</v>
      </c>
      <c r="N348" s="159"/>
      <c r="O348" s="158"/>
      <c r="P348" s="158"/>
      <c r="Q348" s="158"/>
      <c r="R348" s="158"/>
      <c r="S348" s="158"/>
      <c r="T348" s="158"/>
      <c r="U348" s="158"/>
      <c r="V348" s="158"/>
      <c r="W348" s="158"/>
      <c r="X348" s="158"/>
      <c r="Y348" s="158"/>
      <c r="Z348" s="158"/>
      <c r="AA348" s="158"/>
      <c r="AB348" s="158"/>
      <c r="AC348" s="158"/>
      <c r="AD348" s="158"/>
      <c r="AE348" s="158"/>
      <c r="AF348" s="158"/>
      <c r="AG348" s="158"/>
      <c r="AH348" s="158"/>
      <c r="AI348" s="158"/>
      <c r="AJ348" s="158"/>
      <c r="AK348" s="196"/>
      <c r="AL348" s="196"/>
      <c r="AM348" s="196"/>
    </row>
    <row r="349" spans="1:39" s="155" customFormat="1" hidden="1" x14ac:dyDescent="0.25">
      <c r="A349" s="274"/>
      <c r="B349" s="278"/>
      <c r="C349" s="274" t="s">
        <v>764</v>
      </c>
      <c r="D349" s="276">
        <v>1.51</v>
      </c>
      <c r="E349" s="279">
        <f t="shared" si="130"/>
        <v>0.20877222306864071</v>
      </c>
      <c r="F349" s="276">
        <v>60</v>
      </c>
      <c r="G349" s="276">
        <f t="shared" si="150"/>
        <v>0.90599999999999992</v>
      </c>
      <c r="H349" s="276">
        <f t="shared" si="151"/>
        <v>6.3419999999999996</v>
      </c>
      <c r="I349" s="276">
        <f t="shared" si="152"/>
        <v>4.2</v>
      </c>
      <c r="J349" s="276">
        <v>7</v>
      </c>
      <c r="K349" s="296"/>
      <c r="L349" s="158"/>
      <c r="M349" s="158">
        <f>+D343+D345+D346+D347+D348+D351</f>
        <v>9.6399999999999988</v>
      </c>
      <c r="N349" s="159">
        <v>3200</v>
      </c>
      <c r="O349" s="158"/>
      <c r="P349" s="158"/>
      <c r="Q349" s="158"/>
      <c r="R349" s="158"/>
      <c r="S349" s="158"/>
      <c r="T349" s="158"/>
      <c r="U349" s="158"/>
      <c r="V349" s="158"/>
      <c r="W349" s="158"/>
      <c r="X349" s="158"/>
      <c r="Y349" s="158"/>
      <c r="Z349" s="158"/>
      <c r="AA349" s="158"/>
      <c r="AB349" s="158"/>
      <c r="AC349" s="158"/>
      <c r="AD349" s="158"/>
      <c r="AE349" s="158"/>
      <c r="AF349" s="158"/>
      <c r="AG349" s="158"/>
      <c r="AH349" s="158"/>
      <c r="AI349" s="158"/>
      <c r="AJ349" s="158"/>
      <c r="AK349" s="196"/>
      <c r="AL349" s="196"/>
      <c r="AM349" s="196"/>
    </row>
    <row r="350" spans="1:39" s="155" customFormat="1" hidden="1" x14ac:dyDescent="0.25">
      <c r="A350" s="274"/>
      <c r="B350" s="278"/>
      <c r="C350" s="274" t="s">
        <v>765</v>
      </c>
      <c r="D350" s="276">
        <v>0.91</v>
      </c>
      <c r="E350" s="279">
        <f t="shared" si="130"/>
        <v>0.12581637284269079</v>
      </c>
      <c r="F350" s="276">
        <v>60</v>
      </c>
      <c r="G350" s="276">
        <f t="shared" si="150"/>
        <v>0.54600000000000004</v>
      </c>
      <c r="H350" s="276">
        <f t="shared" si="151"/>
        <v>3.8220000000000001</v>
      </c>
      <c r="I350" s="276">
        <f t="shared" si="152"/>
        <v>4.2</v>
      </c>
      <c r="J350" s="276">
        <v>7</v>
      </c>
      <c r="K350" s="296"/>
      <c r="L350" s="158"/>
      <c r="M350" s="197" t="s">
        <v>789</v>
      </c>
      <c r="N350" s="159"/>
      <c r="O350" s="158"/>
      <c r="P350" s="158"/>
      <c r="Q350" s="158"/>
      <c r="R350" s="158"/>
      <c r="S350" s="158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/>
      <c r="AD350" s="158"/>
      <c r="AE350" s="158"/>
      <c r="AF350" s="158"/>
      <c r="AG350" s="158"/>
      <c r="AH350" s="158"/>
      <c r="AI350" s="158"/>
      <c r="AJ350" s="158"/>
      <c r="AK350" s="196"/>
      <c r="AL350" s="196"/>
      <c r="AM350" s="196"/>
    </row>
    <row r="351" spans="1:39" s="155" customFormat="1" hidden="1" x14ac:dyDescent="0.25">
      <c r="A351" s="274"/>
      <c r="B351" s="278"/>
      <c r="C351" s="274" t="s">
        <v>766</v>
      </c>
      <c r="D351" s="276">
        <v>1.1100000000000001</v>
      </c>
      <c r="E351" s="279">
        <f t="shared" si="130"/>
        <v>0.15346832291800744</v>
      </c>
      <c r="F351" s="276">
        <v>60</v>
      </c>
      <c r="G351" s="276">
        <f t="shared" si="150"/>
        <v>0.66600000000000004</v>
      </c>
      <c r="H351" s="276">
        <f t="shared" si="151"/>
        <v>4.6619999999999999</v>
      </c>
      <c r="I351" s="276">
        <f t="shared" si="152"/>
        <v>4.1999999999999993</v>
      </c>
      <c r="J351" s="276">
        <v>7</v>
      </c>
      <c r="K351" s="296"/>
      <c r="L351" s="158"/>
      <c r="M351" s="158">
        <f>+D352</f>
        <v>2.35</v>
      </c>
      <c r="N351" s="159">
        <v>1100</v>
      </c>
      <c r="O351" s="158"/>
      <c r="P351" s="158"/>
      <c r="Q351" s="158"/>
      <c r="R351" s="158"/>
      <c r="S351" s="158"/>
      <c r="T351" s="158"/>
      <c r="U351" s="158"/>
      <c r="V351" s="158"/>
      <c r="W351" s="158"/>
      <c r="X351" s="158"/>
      <c r="Y351" s="158"/>
      <c r="Z351" s="158"/>
      <c r="AA351" s="158"/>
      <c r="AB351" s="158"/>
      <c r="AC351" s="158"/>
      <c r="AD351" s="158"/>
      <c r="AE351" s="158"/>
      <c r="AF351" s="158"/>
      <c r="AG351" s="158"/>
      <c r="AH351" s="158"/>
      <c r="AI351" s="158"/>
      <c r="AJ351" s="158"/>
      <c r="AK351" s="196"/>
      <c r="AL351" s="196"/>
      <c r="AM351" s="196"/>
    </row>
    <row r="352" spans="1:39" s="155" customFormat="1" hidden="1" x14ac:dyDescent="0.25">
      <c r="A352" s="274"/>
      <c r="B352" s="278"/>
      <c r="C352" s="274" t="s">
        <v>767</v>
      </c>
      <c r="D352" s="276">
        <v>2.35</v>
      </c>
      <c r="E352" s="279">
        <f t="shared" si="130"/>
        <v>0.32491041338497068</v>
      </c>
      <c r="F352" s="276">
        <v>60</v>
      </c>
      <c r="G352" s="276">
        <f t="shared" si="150"/>
        <v>1.41</v>
      </c>
      <c r="H352" s="276">
        <f t="shared" si="151"/>
        <v>9.8699999999999992</v>
      </c>
      <c r="I352" s="276">
        <f t="shared" si="152"/>
        <v>4.1999999999999993</v>
      </c>
      <c r="J352" s="276">
        <v>7</v>
      </c>
      <c r="K352" s="296"/>
      <c r="L352" s="158"/>
      <c r="M352" s="158"/>
      <c r="N352" s="159"/>
      <c r="O352" s="158"/>
      <c r="P352" s="158"/>
      <c r="Q352" s="158"/>
      <c r="R352" s="158"/>
      <c r="S352" s="158"/>
      <c r="T352" s="158"/>
      <c r="U352" s="158"/>
      <c r="V352" s="158"/>
      <c r="W352" s="158"/>
      <c r="X352" s="158"/>
      <c r="Y352" s="158"/>
      <c r="Z352" s="158"/>
      <c r="AA352" s="158"/>
      <c r="AB352" s="158"/>
      <c r="AC352" s="158"/>
      <c r="AD352" s="158"/>
      <c r="AE352" s="158"/>
      <c r="AF352" s="158"/>
      <c r="AG352" s="158"/>
      <c r="AH352" s="158"/>
      <c r="AI352" s="158"/>
      <c r="AJ352" s="158"/>
      <c r="AK352" s="196"/>
      <c r="AL352" s="196"/>
      <c r="AM352" s="196"/>
    </row>
    <row r="353" spans="1:39" s="155" customFormat="1" hidden="1" x14ac:dyDescent="0.25">
      <c r="A353" s="274"/>
      <c r="B353" s="278"/>
      <c r="C353" s="274" t="s">
        <v>768</v>
      </c>
      <c r="D353" s="276">
        <v>0.75</v>
      </c>
      <c r="E353" s="279">
        <f t="shared" si="130"/>
        <v>0.10369481278243746</v>
      </c>
      <c r="F353" s="276">
        <v>60</v>
      </c>
      <c r="G353" s="276">
        <f t="shared" si="150"/>
        <v>0.45</v>
      </c>
      <c r="H353" s="276">
        <f t="shared" si="151"/>
        <v>3.15</v>
      </c>
      <c r="I353" s="276">
        <f t="shared" si="152"/>
        <v>4.2</v>
      </c>
      <c r="J353" s="276">
        <v>7</v>
      </c>
      <c r="K353" s="296"/>
      <c r="L353" s="158"/>
      <c r="M353" s="158"/>
      <c r="N353" s="159"/>
      <c r="O353" s="158"/>
      <c r="P353" s="158"/>
      <c r="Q353" s="158"/>
      <c r="R353" s="158"/>
      <c r="S353" s="158"/>
      <c r="T353" s="158"/>
      <c r="U353" s="158"/>
      <c r="V353" s="158"/>
      <c r="W353" s="158"/>
      <c r="X353" s="158"/>
      <c r="Y353" s="158"/>
      <c r="Z353" s="158"/>
      <c r="AA353" s="158"/>
      <c r="AB353" s="158"/>
      <c r="AC353" s="158"/>
      <c r="AD353" s="158"/>
      <c r="AE353" s="158"/>
      <c r="AF353" s="158"/>
      <c r="AG353" s="158"/>
      <c r="AH353" s="158"/>
      <c r="AI353" s="158"/>
      <c r="AJ353" s="158"/>
      <c r="AK353" s="196"/>
      <c r="AL353" s="196"/>
      <c r="AM353" s="196"/>
    </row>
    <row r="354" spans="1:39" s="155" customFormat="1" hidden="1" x14ac:dyDescent="0.25">
      <c r="A354" s="274"/>
      <c r="B354" s="278"/>
      <c r="C354" s="274" t="s">
        <v>841</v>
      </c>
      <c r="D354" s="276">
        <v>3.43</v>
      </c>
      <c r="E354" s="279">
        <f t="shared" si="130"/>
        <v>0.47423094379168063</v>
      </c>
      <c r="F354" s="276">
        <v>60</v>
      </c>
      <c r="G354" s="276">
        <f t="shared" si="150"/>
        <v>2.0580000000000003</v>
      </c>
      <c r="H354" s="276">
        <f t="shared" si="151"/>
        <v>14.406000000000002</v>
      </c>
      <c r="I354" s="276">
        <f t="shared" si="152"/>
        <v>4.2</v>
      </c>
      <c r="J354" s="276">
        <v>7</v>
      </c>
      <c r="K354" s="296"/>
      <c r="L354" s="158"/>
      <c r="M354" s="158"/>
      <c r="N354" s="159"/>
      <c r="O354" s="158"/>
      <c r="P354" s="158"/>
      <c r="Q354" s="158"/>
      <c r="R354" s="158"/>
      <c r="S354" s="158"/>
      <c r="T354" s="158"/>
      <c r="U354" s="158"/>
      <c r="V354" s="158"/>
      <c r="W354" s="158"/>
      <c r="X354" s="158"/>
      <c r="Y354" s="158"/>
      <c r="Z354" s="158"/>
      <c r="AA354" s="158"/>
      <c r="AB354" s="158"/>
      <c r="AC354" s="158"/>
      <c r="AD354" s="158"/>
      <c r="AE354" s="158"/>
      <c r="AF354" s="158"/>
      <c r="AG354" s="158"/>
      <c r="AH354" s="158"/>
      <c r="AI354" s="158"/>
      <c r="AJ354" s="158"/>
      <c r="AK354" s="196"/>
      <c r="AL354" s="196"/>
      <c r="AM354" s="196"/>
    </row>
    <row r="355" spans="1:39" s="155" customFormat="1" x14ac:dyDescent="0.25">
      <c r="A355" s="272" t="s">
        <v>708</v>
      </c>
      <c r="B355" s="273" t="s">
        <v>725</v>
      </c>
      <c r="C355" s="272"/>
      <c r="D355" s="275">
        <f>+D356</f>
        <v>0.65</v>
      </c>
      <c r="E355" s="294">
        <f t="shared" si="130"/>
        <v>8.986883774477912E-2</v>
      </c>
      <c r="F355" s="275">
        <v>60</v>
      </c>
      <c r="G355" s="275">
        <f t="shared" ref="G355:G356" si="153">+D355*F355/100</f>
        <v>0.39</v>
      </c>
      <c r="H355" s="275">
        <f t="shared" ref="H355:H356" si="154">+G355*J355</f>
        <v>2.73</v>
      </c>
      <c r="I355" s="275">
        <f t="shared" ref="I355:I356" si="155">+H355/D355</f>
        <v>4.2</v>
      </c>
      <c r="J355" s="275">
        <v>7</v>
      </c>
      <c r="K355" s="298"/>
      <c r="L355" s="158"/>
      <c r="M355" s="158"/>
      <c r="N355" s="159"/>
      <c r="O355" s="158"/>
      <c r="P355" s="158"/>
      <c r="Q355" s="158"/>
      <c r="R355" s="158"/>
      <c r="S355" s="158"/>
      <c r="T355" s="158"/>
      <c r="U355" s="158"/>
      <c r="V355" s="158"/>
      <c r="W355" s="158"/>
      <c r="X355" s="158"/>
      <c r="Y355" s="158"/>
      <c r="Z355" s="158"/>
      <c r="AA355" s="158"/>
      <c r="AB355" s="158"/>
      <c r="AC355" s="158"/>
      <c r="AD355" s="158"/>
      <c r="AE355" s="158"/>
      <c r="AF355" s="158"/>
      <c r="AG355" s="158"/>
      <c r="AH355" s="158"/>
      <c r="AI355" s="158"/>
      <c r="AJ355" s="158"/>
      <c r="AK355" s="196"/>
      <c r="AL355" s="196"/>
      <c r="AM355" s="196"/>
    </row>
    <row r="356" spans="1:39" s="155" customFormat="1" hidden="1" x14ac:dyDescent="0.25">
      <c r="A356" s="274"/>
      <c r="B356" s="278"/>
      <c r="C356" s="274" t="s">
        <v>769</v>
      </c>
      <c r="D356" s="276">
        <v>0.65</v>
      </c>
      <c r="E356" s="279">
        <f t="shared" si="130"/>
        <v>8.986883774477912E-2</v>
      </c>
      <c r="F356" s="276">
        <v>60</v>
      </c>
      <c r="G356" s="276">
        <f t="shared" si="153"/>
        <v>0.39</v>
      </c>
      <c r="H356" s="276">
        <f t="shared" si="154"/>
        <v>2.73</v>
      </c>
      <c r="I356" s="276">
        <f t="shared" si="155"/>
        <v>4.2</v>
      </c>
      <c r="J356" s="276">
        <v>7</v>
      </c>
      <c r="K356" s="296"/>
      <c r="L356" s="158"/>
      <c r="M356" s="158"/>
      <c r="N356" s="159"/>
      <c r="O356" s="158"/>
      <c r="P356" s="158"/>
      <c r="Q356" s="158"/>
      <c r="R356" s="158"/>
      <c r="S356" s="158"/>
      <c r="T356" s="158"/>
      <c r="U356" s="158"/>
      <c r="V356" s="158"/>
      <c r="W356" s="158"/>
      <c r="X356" s="158"/>
      <c r="Y356" s="158"/>
      <c r="Z356" s="158"/>
      <c r="AA356" s="158"/>
      <c r="AB356" s="158"/>
      <c r="AC356" s="158"/>
      <c r="AD356" s="158"/>
      <c r="AE356" s="158"/>
      <c r="AF356" s="158"/>
      <c r="AG356" s="158"/>
      <c r="AH356" s="158"/>
      <c r="AI356" s="158"/>
      <c r="AJ356" s="158"/>
      <c r="AK356" s="196"/>
      <c r="AL356" s="196"/>
      <c r="AM356" s="196"/>
    </row>
    <row r="357" spans="1:39" s="155" customFormat="1" x14ac:dyDescent="0.25">
      <c r="A357" s="269">
        <v>1.2</v>
      </c>
      <c r="B357" s="270" t="s">
        <v>90</v>
      </c>
      <c r="C357" s="269"/>
      <c r="D357" s="271">
        <f>+SUM(D358:D375)</f>
        <v>40.756399999999999</v>
      </c>
      <c r="E357" s="292">
        <f t="shared" si="130"/>
        <v>5.6349696902481785</v>
      </c>
      <c r="F357" s="271">
        <v>60</v>
      </c>
      <c r="G357" s="271">
        <f t="shared" ref="G357:G373" si="156">+D357*F357/100</f>
        <v>24.45384</v>
      </c>
      <c r="H357" s="271">
        <f t="shared" ref="H357:H373" si="157">+G357*J357</f>
        <v>171.17687999999998</v>
      </c>
      <c r="I357" s="271">
        <f t="shared" ref="I357:I373" si="158">+H357/D357</f>
        <v>4.1999999999999993</v>
      </c>
      <c r="J357" s="271">
        <v>7</v>
      </c>
      <c r="K357" s="293">
        <v>3081.0142745027379</v>
      </c>
      <c r="L357" s="158"/>
      <c r="M357" s="158"/>
      <c r="N357" s="159"/>
      <c r="O357" s="158"/>
      <c r="P357" s="158"/>
      <c r="Q357" s="158"/>
      <c r="R357" s="158"/>
      <c r="S357" s="158"/>
      <c r="T357" s="158"/>
      <c r="U357" s="158"/>
      <c r="V357" s="158"/>
      <c r="W357" s="158"/>
      <c r="X357" s="158"/>
      <c r="Y357" s="158"/>
      <c r="Z357" s="158"/>
      <c r="AA357" s="158"/>
      <c r="AB357" s="158"/>
      <c r="AC357" s="158"/>
      <c r="AD357" s="158"/>
      <c r="AE357" s="158"/>
      <c r="AF357" s="158"/>
      <c r="AG357" s="158"/>
      <c r="AH357" s="158"/>
      <c r="AI357" s="158"/>
      <c r="AJ357" s="158"/>
      <c r="AK357" s="196"/>
      <c r="AL357" s="196"/>
      <c r="AM357" s="196"/>
    </row>
    <row r="358" spans="1:39" s="155" customFormat="1" hidden="1" x14ac:dyDescent="0.25">
      <c r="A358" s="269"/>
      <c r="B358" s="270"/>
      <c r="C358" s="274" t="s">
        <v>770</v>
      </c>
      <c r="D358" s="276">
        <v>3.5545</v>
      </c>
      <c r="E358" s="279">
        <f t="shared" ref="E358:E359" si="159">+D358/$D$3*100</f>
        <v>0.49144428271356522</v>
      </c>
      <c r="F358" s="276">
        <v>60</v>
      </c>
      <c r="G358" s="276">
        <f t="shared" ref="G358:G359" si="160">+D358*F358/100</f>
        <v>2.1327000000000003</v>
      </c>
      <c r="H358" s="276">
        <f t="shared" ref="H358:H359" si="161">+G358*J358</f>
        <v>14.928900000000002</v>
      </c>
      <c r="I358" s="276">
        <f t="shared" ref="I358:I359" si="162">+H358/D358</f>
        <v>4.2000000000000011</v>
      </c>
      <c r="J358" s="276">
        <v>7</v>
      </c>
      <c r="K358" s="293"/>
      <c r="L358" s="158"/>
      <c r="M358" s="158"/>
      <c r="N358" s="159"/>
      <c r="O358" s="158"/>
      <c r="P358" s="158"/>
      <c r="Q358" s="158"/>
      <c r="R358" s="158"/>
      <c r="S358" s="158"/>
      <c r="T358" s="158"/>
      <c r="U358" s="158"/>
      <c r="V358" s="158"/>
      <c r="W358" s="158"/>
      <c r="X358" s="158"/>
      <c r="Y358" s="158"/>
      <c r="Z358" s="158"/>
      <c r="AA358" s="158"/>
      <c r="AB358" s="158"/>
      <c r="AC358" s="158"/>
      <c r="AD358" s="158"/>
      <c r="AE358" s="158"/>
      <c r="AF358" s="158"/>
      <c r="AG358" s="158"/>
      <c r="AH358" s="158"/>
      <c r="AI358" s="158"/>
      <c r="AJ358" s="158"/>
      <c r="AK358" s="196"/>
      <c r="AL358" s="196"/>
      <c r="AM358" s="196"/>
    </row>
    <row r="359" spans="1:39" s="155" customFormat="1" hidden="1" x14ac:dyDescent="0.25">
      <c r="A359" s="269"/>
      <c r="B359" s="270"/>
      <c r="C359" s="274" t="s">
        <v>771</v>
      </c>
      <c r="D359" s="276">
        <v>8.4436</v>
      </c>
      <c r="E359" s="279">
        <f t="shared" si="159"/>
        <v>1.1674100282797184</v>
      </c>
      <c r="F359" s="276">
        <v>60</v>
      </c>
      <c r="G359" s="276">
        <f t="shared" si="160"/>
        <v>5.06616</v>
      </c>
      <c r="H359" s="276">
        <f t="shared" si="161"/>
        <v>35.463120000000004</v>
      </c>
      <c r="I359" s="276">
        <f t="shared" si="162"/>
        <v>4.2</v>
      </c>
      <c r="J359" s="276">
        <v>7</v>
      </c>
      <c r="K359" s="293"/>
      <c r="L359" s="158"/>
      <c r="M359" s="158"/>
      <c r="N359" s="159"/>
      <c r="O359" s="158"/>
      <c r="P359" s="158"/>
      <c r="Q359" s="158"/>
      <c r="R359" s="158"/>
      <c r="S359" s="158"/>
      <c r="T359" s="158"/>
      <c r="U359" s="158"/>
      <c r="V359" s="158"/>
      <c r="W359" s="158"/>
      <c r="X359" s="158"/>
      <c r="Y359" s="158"/>
      <c r="Z359" s="158"/>
      <c r="AA359" s="158"/>
      <c r="AB359" s="158"/>
      <c r="AC359" s="158"/>
      <c r="AD359" s="158"/>
      <c r="AE359" s="158"/>
      <c r="AF359" s="158"/>
      <c r="AG359" s="158"/>
      <c r="AH359" s="158"/>
      <c r="AI359" s="158"/>
      <c r="AJ359" s="158"/>
      <c r="AK359" s="196"/>
      <c r="AL359" s="196"/>
      <c r="AM359" s="196"/>
    </row>
    <row r="360" spans="1:39" s="155" customFormat="1" hidden="1" x14ac:dyDescent="0.25">
      <c r="A360" s="274"/>
      <c r="B360" s="278"/>
      <c r="C360" s="274" t="s">
        <v>772</v>
      </c>
      <c r="D360" s="276">
        <v>0.11650000000000001</v>
      </c>
      <c r="E360" s="279">
        <f t="shared" si="130"/>
        <v>1.6107260918871952E-2</v>
      </c>
      <c r="F360" s="276">
        <v>60</v>
      </c>
      <c r="G360" s="276">
        <f t="shared" si="156"/>
        <v>6.9900000000000004E-2</v>
      </c>
      <c r="H360" s="276">
        <f t="shared" si="157"/>
        <v>0.48930000000000001</v>
      </c>
      <c r="I360" s="276">
        <f t="shared" si="158"/>
        <v>4.2</v>
      </c>
      <c r="J360" s="276">
        <v>7</v>
      </c>
      <c r="K360" s="296"/>
      <c r="L360" s="158"/>
      <c r="M360" s="158"/>
      <c r="N360" s="159"/>
      <c r="O360" s="158"/>
      <c r="P360" s="158"/>
      <c r="Q360" s="158"/>
      <c r="R360" s="158"/>
      <c r="S360" s="158"/>
      <c r="T360" s="158"/>
      <c r="U360" s="158"/>
      <c r="V360" s="158"/>
      <c r="W360" s="158"/>
      <c r="X360" s="158"/>
      <c r="Y360" s="158"/>
      <c r="Z360" s="158"/>
      <c r="AA360" s="158"/>
      <c r="AB360" s="158"/>
      <c r="AC360" s="158"/>
      <c r="AD360" s="158"/>
      <c r="AE360" s="158"/>
      <c r="AF360" s="158"/>
      <c r="AG360" s="158"/>
      <c r="AH360" s="158"/>
      <c r="AI360" s="158"/>
      <c r="AJ360" s="158"/>
      <c r="AK360" s="196"/>
      <c r="AL360" s="196"/>
      <c r="AM360" s="196"/>
    </row>
    <row r="361" spans="1:39" s="155" customFormat="1" hidden="1" x14ac:dyDescent="0.25">
      <c r="A361" s="274"/>
      <c r="B361" s="278"/>
      <c r="C361" s="274" t="s">
        <v>773</v>
      </c>
      <c r="D361" s="276">
        <v>0.23730000000000001</v>
      </c>
      <c r="E361" s="279">
        <f t="shared" ref="E361:E388" si="163">+D361/$D$3*100</f>
        <v>3.280903876436321E-2</v>
      </c>
      <c r="F361" s="276">
        <v>60</v>
      </c>
      <c r="G361" s="276">
        <f t="shared" si="156"/>
        <v>0.14238000000000001</v>
      </c>
      <c r="H361" s="276">
        <f t="shared" si="157"/>
        <v>0.9966600000000001</v>
      </c>
      <c r="I361" s="276">
        <f t="shared" si="158"/>
        <v>4.2</v>
      </c>
      <c r="J361" s="276">
        <v>7</v>
      </c>
      <c r="K361" s="296"/>
      <c r="L361" s="158"/>
      <c r="M361" s="158"/>
      <c r="N361" s="159"/>
      <c r="O361" s="158"/>
      <c r="P361" s="158"/>
      <c r="Q361" s="158"/>
      <c r="R361" s="158"/>
      <c r="S361" s="158"/>
      <c r="T361" s="158"/>
      <c r="U361" s="158"/>
      <c r="V361" s="158"/>
      <c r="W361" s="158"/>
      <c r="X361" s="158"/>
      <c r="Y361" s="158"/>
      <c r="Z361" s="158"/>
      <c r="AA361" s="158"/>
      <c r="AB361" s="158"/>
      <c r="AC361" s="158"/>
      <c r="AD361" s="158"/>
      <c r="AE361" s="158"/>
      <c r="AF361" s="158"/>
      <c r="AG361" s="158"/>
      <c r="AH361" s="158"/>
      <c r="AI361" s="158"/>
      <c r="AJ361" s="158"/>
      <c r="AK361" s="196"/>
      <c r="AL361" s="196"/>
      <c r="AM361" s="196"/>
    </row>
    <row r="362" spans="1:39" s="155" customFormat="1" hidden="1" x14ac:dyDescent="0.25">
      <c r="A362" s="274"/>
      <c r="B362" s="278"/>
      <c r="C362" s="274" t="s">
        <v>774</v>
      </c>
      <c r="D362" s="276">
        <v>0.13220000000000001</v>
      </c>
      <c r="E362" s="279">
        <f t="shared" si="163"/>
        <v>1.8277938999784308E-2</v>
      </c>
      <c r="F362" s="276">
        <v>60</v>
      </c>
      <c r="G362" s="276">
        <f t="shared" si="156"/>
        <v>7.9320000000000002E-2</v>
      </c>
      <c r="H362" s="276">
        <f t="shared" si="157"/>
        <v>0.55523999999999996</v>
      </c>
      <c r="I362" s="276">
        <f t="shared" si="158"/>
        <v>4.1999999999999993</v>
      </c>
      <c r="J362" s="276">
        <v>7</v>
      </c>
      <c r="K362" s="296"/>
      <c r="L362" s="158"/>
      <c r="M362" s="158"/>
      <c r="N362" s="159"/>
      <c r="O362" s="158"/>
      <c r="P362" s="158"/>
      <c r="Q362" s="158"/>
      <c r="R362" s="158"/>
      <c r="S362" s="158"/>
      <c r="T362" s="158"/>
      <c r="U362" s="158"/>
      <c r="V362" s="158"/>
      <c r="W362" s="158"/>
      <c r="X362" s="158"/>
      <c r="Y362" s="158"/>
      <c r="Z362" s="158"/>
      <c r="AA362" s="158"/>
      <c r="AB362" s="158"/>
      <c r="AC362" s="158"/>
      <c r="AD362" s="158"/>
      <c r="AE362" s="158"/>
      <c r="AF362" s="158"/>
      <c r="AG362" s="158"/>
      <c r="AH362" s="158"/>
      <c r="AI362" s="158"/>
      <c r="AJ362" s="158"/>
      <c r="AK362" s="196"/>
      <c r="AL362" s="196"/>
      <c r="AM362" s="196"/>
    </row>
    <row r="363" spans="1:39" s="155" customFormat="1" hidden="1" x14ac:dyDescent="0.25">
      <c r="A363" s="274"/>
      <c r="B363" s="278"/>
      <c r="C363" s="274" t="s">
        <v>775</v>
      </c>
      <c r="D363" s="276">
        <v>1.9359999999999999</v>
      </c>
      <c r="E363" s="279">
        <f t="shared" si="163"/>
        <v>0.2676708767290652</v>
      </c>
      <c r="F363" s="276">
        <v>60</v>
      </c>
      <c r="G363" s="276">
        <f t="shared" si="156"/>
        <v>1.1616</v>
      </c>
      <c r="H363" s="276">
        <f t="shared" si="157"/>
        <v>8.1311999999999998</v>
      </c>
      <c r="I363" s="276">
        <f t="shared" si="158"/>
        <v>4.2</v>
      </c>
      <c r="J363" s="276">
        <v>7</v>
      </c>
      <c r="K363" s="296"/>
      <c r="L363" s="158"/>
      <c r="M363" s="158"/>
      <c r="N363" s="159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  <c r="AA363" s="158"/>
      <c r="AB363" s="158"/>
      <c r="AC363" s="158"/>
      <c r="AD363" s="158"/>
      <c r="AE363" s="158"/>
      <c r="AF363" s="158"/>
      <c r="AG363" s="158"/>
      <c r="AH363" s="158"/>
      <c r="AI363" s="158"/>
      <c r="AJ363" s="158"/>
      <c r="AK363" s="196"/>
      <c r="AL363" s="196"/>
      <c r="AM363" s="196"/>
    </row>
    <row r="364" spans="1:39" s="155" customFormat="1" hidden="1" x14ac:dyDescent="0.25">
      <c r="A364" s="274"/>
      <c r="B364" s="278"/>
      <c r="C364" s="274" t="s">
        <v>776</v>
      </c>
      <c r="D364" s="276">
        <v>0.3044</v>
      </c>
      <c r="E364" s="279">
        <f t="shared" si="163"/>
        <v>4.2086268014631945E-2</v>
      </c>
      <c r="F364" s="276">
        <v>60</v>
      </c>
      <c r="G364" s="276">
        <f t="shared" ref="G364" si="164">+D364*F364/100</f>
        <v>0.18264</v>
      </c>
      <c r="H364" s="276">
        <f t="shared" ref="H364" si="165">+G364*J364</f>
        <v>1.2784800000000001</v>
      </c>
      <c r="I364" s="276">
        <f t="shared" ref="I364" si="166">+H364/D364</f>
        <v>4.2</v>
      </c>
      <c r="J364" s="276">
        <v>7</v>
      </c>
      <c r="K364" s="296"/>
      <c r="L364" s="158"/>
      <c r="M364" s="158"/>
      <c r="N364" s="159"/>
      <c r="O364" s="158"/>
      <c r="P364" s="158"/>
      <c r="Q364" s="158"/>
      <c r="R364" s="158"/>
      <c r="S364" s="158"/>
      <c r="T364" s="158"/>
      <c r="U364" s="158"/>
      <c r="V364" s="158"/>
      <c r="W364" s="158"/>
      <c r="X364" s="158"/>
      <c r="Y364" s="158"/>
      <c r="Z364" s="158"/>
      <c r="AA364" s="158"/>
      <c r="AB364" s="158"/>
      <c r="AC364" s="158"/>
      <c r="AD364" s="158"/>
      <c r="AE364" s="158"/>
      <c r="AF364" s="158"/>
      <c r="AG364" s="158"/>
      <c r="AH364" s="158"/>
      <c r="AI364" s="158"/>
      <c r="AJ364" s="158"/>
      <c r="AK364" s="196"/>
      <c r="AL364" s="196"/>
      <c r="AM364" s="196"/>
    </row>
    <row r="365" spans="1:39" s="155" customFormat="1" hidden="1" x14ac:dyDescent="0.25">
      <c r="A365" s="274"/>
      <c r="B365" s="278"/>
      <c r="C365" s="274" t="s">
        <v>777</v>
      </c>
      <c r="D365" s="276">
        <v>2.0931000000000002</v>
      </c>
      <c r="E365" s="279">
        <f t="shared" si="163"/>
        <v>0.28939148351322647</v>
      </c>
      <c r="F365" s="276">
        <v>60</v>
      </c>
      <c r="G365" s="276">
        <f t="shared" si="156"/>
        <v>1.2558600000000002</v>
      </c>
      <c r="H365" s="276">
        <f t="shared" si="157"/>
        <v>8.7910200000000014</v>
      </c>
      <c r="I365" s="276">
        <f t="shared" si="158"/>
        <v>4.2</v>
      </c>
      <c r="J365" s="276">
        <v>7</v>
      </c>
      <c r="K365" s="296"/>
      <c r="L365" s="158"/>
      <c r="M365" s="158"/>
      <c r="N365" s="159"/>
      <c r="O365" s="158"/>
      <c r="P365" s="158"/>
      <c r="Q365" s="158"/>
      <c r="R365" s="158"/>
      <c r="S365" s="158"/>
      <c r="T365" s="158"/>
      <c r="U365" s="158"/>
      <c r="V365" s="158"/>
      <c r="W365" s="158"/>
      <c r="X365" s="158"/>
      <c r="Y365" s="158"/>
      <c r="Z365" s="158"/>
      <c r="AA365" s="158"/>
      <c r="AB365" s="158"/>
      <c r="AC365" s="158"/>
      <c r="AD365" s="158"/>
      <c r="AE365" s="158"/>
      <c r="AF365" s="158"/>
      <c r="AG365" s="158"/>
      <c r="AH365" s="158"/>
      <c r="AI365" s="158"/>
      <c r="AJ365" s="158"/>
      <c r="AK365" s="196"/>
      <c r="AL365" s="196"/>
      <c r="AM365" s="196"/>
    </row>
    <row r="366" spans="1:39" s="155" customFormat="1" hidden="1" x14ac:dyDescent="0.25">
      <c r="A366" s="274"/>
      <c r="B366" s="278"/>
      <c r="C366" s="274" t="s">
        <v>778</v>
      </c>
      <c r="D366" s="276">
        <v>3.3822000000000001</v>
      </c>
      <c r="E366" s="279">
        <f t="shared" si="163"/>
        <v>0.46762212772367989</v>
      </c>
      <c r="F366" s="276">
        <v>60</v>
      </c>
      <c r="G366" s="276">
        <f t="shared" si="156"/>
        <v>2.0293200000000002</v>
      </c>
      <c r="H366" s="276">
        <f t="shared" si="157"/>
        <v>14.205240000000002</v>
      </c>
      <c r="I366" s="276">
        <f t="shared" si="158"/>
        <v>4.2</v>
      </c>
      <c r="J366" s="276">
        <v>7</v>
      </c>
      <c r="K366" s="296"/>
      <c r="L366" s="158"/>
      <c r="M366" s="158"/>
      <c r="N366" s="159"/>
      <c r="O366" s="158"/>
      <c r="P366" s="158"/>
      <c r="Q366" s="158"/>
      <c r="R366" s="158"/>
      <c r="S366" s="158"/>
      <c r="T366" s="158"/>
      <c r="U366" s="158"/>
      <c r="V366" s="158"/>
      <c r="W366" s="158"/>
      <c r="X366" s="158"/>
      <c r="Y366" s="158"/>
      <c r="Z366" s="158"/>
      <c r="AA366" s="158"/>
      <c r="AB366" s="158"/>
      <c r="AC366" s="158"/>
      <c r="AD366" s="158"/>
      <c r="AE366" s="158"/>
      <c r="AF366" s="158"/>
      <c r="AG366" s="158"/>
      <c r="AH366" s="158"/>
      <c r="AI366" s="158"/>
      <c r="AJ366" s="158"/>
      <c r="AK366" s="196"/>
      <c r="AL366" s="196"/>
      <c r="AM366" s="196"/>
    </row>
    <row r="367" spans="1:39" s="155" customFormat="1" hidden="1" x14ac:dyDescent="0.25">
      <c r="A367" s="274"/>
      <c r="B367" s="278"/>
      <c r="C367" s="274" t="s">
        <v>779</v>
      </c>
      <c r="D367" s="276">
        <v>3.4643999999999999</v>
      </c>
      <c r="E367" s="279">
        <f t="shared" si="163"/>
        <v>0.47898707920463501</v>
      </c>
      <c r="F367" s="276">
        <v>60</v>
      </c>
      <c r="G367" s="276">
        <f t="shared" si="156"/>
        <v>2.07864</v>
      </c>
      <c r="H367" s="276">
        <f t="shared" si="157"/>
        <v>14.55048</v>
      </c>
      <c r="I367" s="276">
        <f t="shared" si="158"/>
        <v>4.2</v>
      </c>
      <c r="J367" s="276">
        <v>7</v>
      </c>
      <c r="K367" s="296"/>
      <c r="L367" s="158"/>
      <c r="M367" s="158"/>
      <c r="N367" s="159"/>
      <c r="O367" s="158"/>
      <c r="P367" s="158"/>
      <c r="Q367" s="158"/>
      <c r="R367" s="158"/>
      <c r="S367" s="158"/>
      <c r="T367" s="158"/>
      <c r="U367" s="158"/>
      <c r="V367" s="158"/>
      <c r="W367" s="158"/>
      <c r="X367" s="158"/>
      <c r="Y367" s="158"/>
      <c r="Z367" s="158"/>
      <c r="AA367" s="158"/>
      <c r="AB367" s="158"/>
      <c r="AC367" s="158"/>
      <c r="AD367" s="158"/>
      <c r="AE367" s="158"/>
      <c r="AF367" s="158"/>
      <c r="AG367" s="158"/>
      <c r="AH367" s="158"/>
      <c r="AI367" s="158"/>
      <c r="AJ367" s="158"/>
      <c r="AK367" s="196"/>
      <c r="AL367" s="196"/>
      <c r="AM367" s="196"/>
    </row>
    <row r="368" spans="1:39" s="155" customFormat="1" hidden="1" x14ac:dyDescent="0.25">
      <c r="A368" s="274"/>
      <c r="B368" s="278"/>
      <c r="C368" s="274" t="s">
        <v>780</v>
      </c>
      <c r="D368" s="276">
        <v>0.16600000000000001</v>
      </c>
      <c r="E368" s="279">
        <f t="shared" si="163"/>
        <v>2.2951118562512824E-2</v>
      </c>
      <c r="F368" s="276">
        <v>60</v>
      </c>
      <c r="G368" s="276">
        <f t="shared" si="156"/>
        <v>9.9600000000000008E-2</v>
      </c>
      <c r="H368" s="276">
        <f t="shared" si="157"/>
        <v>0.69720000000000004</v>
      </c>
      <c r="I368" s="276">
        <f t="shared" si="158"/>
        <v>4.2</v>
      </c>
      <c r="J368" s="276">
        <v>7</v>
      </c>
      <c r="K368" s="296"/>
      <c r="L368" s="158"/>
      <c r="M368" s="158"/>
      <c r="N368" s="159"/>
      <c r="O368" s="158"/>
      <c r="P368" s="158"/>
      <c r="Q368" s="158"/>
      <c r="R368" s="158"/>
      <c r="S368" s="158"/>
      <c r="T368" s="158"/>
      <c r="U368" s="158"/>
      <c r="V368" s="158"/>
      <c r="W368" s="158"/>
      <c r="X368" s="158"/>
      <c r="Y368" s="158"/>
      <c r="Z368" s="158"/>
      <c r="AA368" s="158"/>
      <c r="AB368" s="158"/>
      <c r="AC368" s="158"/>
      <c r="AD368" s="158"/>
      <c r="AE368" s="158"/>
      <c r="AF368" s="158"/>
      <c r="AG368" s="158"/>
      <c r="AH368" s="158"/>
      <c r="AI368" s="158"/>
      <c r="AJ368" s="158"/>
      <c r="AK368" s="196"/>
      <c r="AL368" s="196"/>
      <c r="AM368" s="196"/>
    </row>
    <row r="369" spans="1:39" s="155" customFormat="1" hidden="1" x14ac:dyDescent="0.25">
      <c r="A369" s="274"/>
      <c r="B369" s="278"/>
      <c r="C369" s="274" t="s">
        <v>781</v>
      </c>
      <c r="D369" s="276">
        <v>0.88229999999999997</v>
      </c>
      <c r="E369" s="279">
        <f t="shared" si="163"/>
        <v>0.12198657775725941</v>
      </c>
      <c r="F369" s="276">
        <v>60</v>
      </c>
      <c r="G369" s="276">
        <f t="shared" si="156"/>
        <v>0.52937999999999996</v>
      </c>
      <c r="H369" s="276">
        <f t="shared" si="157"/>
        <v>3.70566</v>
      </c>
      <c r="I369" s="276">
        <f t="shared" si="158"/>
        <v>4.2</v>
      </c>
      <c r="J369" s="276">
        <v>7</v>
      </c>
      <c r="K369" s="296"/>
      <c r="L369" s="158"/>
      <c r="M369" s="158"/>
      <c r="N369" s="159"/>
      <c r="O369" s="158"/>
      <c r="P369" s="158"/>
      <c r="Q369" s="158"/>
      <c r="R369" s="158"/>
      <c r="S369" s="158"/>
      <c r="T369" s="158"/>
      <c r="U369" s="158"/>
      <c r="V369" s="158"/>
      <c r="W369" s="158"/>
      <c r="X369" s="158"/>
      <c r="Y369" s="158"/>
      <c r="Z369" s="158"/>
      <c r="AA369" s="158"/>
      <c r="AB369" s="158"/>
      <c r="AC369" s="158"/>
      <c r="AD369" s="158"/>
      <c r="AE369" s="158"/>
      <c r="AF369" s="158"/>
      <c r="AG369" s="158"/>
      <c r="AH369" s="158"/>
      <c r="AI369" s="158"/>
      <c r="AJ369" s="158"/>
      <c r="AK369" s="196"/>
      <c r="AL369" s="196"/>
      <c r="AM369" s="196"/>
    </row>
    <row r="370" spans="1:39" s="155" customFormat="1" hidden="1" x14ac:dyDescent="0.25">
      <c r="A370" s="274"/>
      <c r="B370" s="278"/>
      <c r="C370" s="274" t="s">
        <v>782</v>
      </c>
      <c r="D370" s="276">
        <v>0.42909999999999998</v>
      </c>
      <c r="E370" s="279">
        <f t="shared" si="163"/>
        <v>5.9327258886591877E-2</v>
      </c>
      <c r="F370" s="276">
        <v>60</v>
      </c>
      <c r="G370" s="276">
        <f t="shared" si="156"/>
        <v>0.25745999999999997</v>
      </c>
      <c r="H370" s="276">
        <f t="shared" si="157"/>
        <v>1.8022199999999997</v>
      </c>
      <c r="I370" s="276">
        <f t="shared" si="158"/>
        <v>4.1999999999999993</v>
      </c>
      <c r="J370" s="276">
        <v>7</v>
      </c>
      <c r="K370" s="296"/>
      <c r="L370" s="158"/>
      <c r="M370" s="158"/>
      <c r="N370" s="159"/>
      <c r="O370" s="158"/>
      <c r="P370" s="158"/>
      <c r="Q370" s="158"/>
      <c r="R370" s="158"/>
      <c r="S370" s="158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  <c r="AF370" s="158"/>
      <c r="AG370" s="158"/>
      <c r="AH370" s="158"/>
      <c r="AI370" s="158"/>
      <c r="AJ370" s="158"/>
      <c r="AK370" s="196"/>
      <c r="AL370" s="196"/>
      <c r="AM370" s="196"/>
    </row>
    <row r="371" spans="1:39" s="155" customFormat="1" hidden="1" x14ac:dyDescent="0.25">
      <c r="A371" s="274"/>
      <c r="B371" s="278"/>
      <c r="C371" s="274" t="s">
        <v>783</v>
      </c>
      <c r="D371" s="276">
        <v>1.2174</v>
      </c>
      <c r="E371" s="279">
        <f t="shared" si="163"/>
        <v>0.16831742010845246</v>
      </c>
      <c r="F371" s="276">
        <v>60</v>
      </c>
      <c r="G371" s="276">
        <f t="shared" si="156"/>
        <v>0.73043999999999998</v>
      </c>
      <c r="H371" s="276">
        <f t="shared" si="157"/>
        <v>5.1130800000000001</v>
      </c>
      <c r="I371" s="276">
        <f t="shared" si="158"/>
        <v>4.2</v>
      </c>
      <c r="J371" s="276">
        <v>7</v>
      </c>
      <c r="K371" s="296"/>
      <c r="L371" s="158"/>
      <c r="M371" s="158"/>
      <c r="N371" s="159"/>
      <c r="O371" s="158"/>
      <c r="P371" s="158"/>
      <c r="Q371" s="158"/>
      <c r="R371" s="158"/>
      <c r="S371" s="158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  <c r="AD371" s="158"/>
      <c r="AE371" s="158"/>
      <c r="AF371" s="158"/>
      <c r="AG371" s="158"/>
      <c r="AH371" s="158"/>
      <c r="AI371" s="158"/>
      <c r="AJ371" s="158"/>
      <c r="AK371" s="196"/>
      <c r="AL371" s="196"/>
      <c r="AM371" s="196"/>
    </row>
    <row r="372" spans="1:39" s="155" customFormat="1" hidden="1" x14ac:dyDescent="0.25">
      <c r="A372" s="274"/>
      <c r="B372" s="278"/>
      <c r="C372" s="274" t="s">
        <v>784</v>
      </c>
      <c r="D372" s="276">
        <v>4.7827000000000002</v>
      </c>
      <c r="E372" s="279">
        <f t="shared" si="163"/>
        <v>0.66125490812608489</v>
      </c>
      <c r="F372" s="276">
        <v>60</v>
      </c>
      <c r="G372" s="276">
        <f t="shared" si="156"/>
        <v>2.8696199999999998</v>
      </c>
      <c r="H372" s="276">
        <f t="shared" si="157"/>
        <v>20.087339999999998</v>
      </c>
      <c r="I372" s="276">
        <f t="shared" si="158"/>
        <v>4.1999999999999993</v>
      </c>
      <c r="J372" s="276">
        <v>7</v>
      </c>
      <c r="K372" s="296"/>
      <c r="L372" s="158"/>
      <c r="M372" s="158"/>
      <c r="N372" s="159"/>
      <c r="O372" s="158"/>
      <c r="P372" s="158"/>
      <c r="Q372" s="158"/>
      <c r="R372" s="158"/>
      <c r="S372" s="158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158"/>
      <c r="AE372" s="158"/>
      <c r="AF372" s="158"/>
      <c r="AG372" s="158"/>
      <c r="AH372" s="158"/>
      <c r="AI372" s="158"/>
      <c r="AJ372" s="158"/>
      <c r="AK372" s="196"/>
      <c r="AL372" s="196"/>
      <c r="AM372" s="196"/>
    </row>
    <row r="373" spans="1:39" s="155" customFormat="1" hidden="1" x14ac:dyDescent="0.25">
      <c r="A373" s="274"/>
      <c r="B373" s="278"/>
      <c r="C373" s="274" t="s">
        <v>785</v>
      </c>
      <c r="D373" s="276">
        <v>1.1569</v>
      </c>
      <c r="E373" s="279">
        <f t="shared" si="163"/>
        <v>0.15995270521066918</v>
      </c>
      <c r="F373" s="276">
        <v>60</v>
      </c>
      <c r="G373" s="276">
        <f t="shared" si="156"/>
        <v>0.69413999999999998</v>
      </c>
      <c r="H373" s="276">
        <f t="shared" si="157"/>
        <v>4.8589799999999999</v>
      </c>
      <c r="I373" s="276">
        <f t="shared" si="158"/>
        <v>4.1999999999999993</v>
      </c>
      <c r="J373" s="276">
        <v>7</v>
      </c>
      <c r="K373" s="296"/>
      <c r="L373" s="158"/>
      <c r="M373" s="158"/>
      <c r="N373" s="159"/>
      <c r="O373" s="158"/>
      <c r="P373" s="158"/>
      <c r="Q373" s="158"/>
      <c r="R373" s="158"/>
      <c r="S373" s="158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158"/>
      <c r="AE373" s="158"/>
      <c r="AF373" s="158"/>
      <c r="AG373" s="158"/>
      <c r="AH373" s="158"/>
      <c r="AI373" s="158"/>
      <c r="AJ373" s="158"/>
      <c r="AK373" s="196"/>
      <c r="AL373" s="196"/>
      <c r="AM373" s="196"/>
    </row>
    <row r="374" spans="1:39" hidden="1" x14ac:dyDescent="0.25">
      <c r="A374" s="274"/>
      <c r="B374" s="278"/>
      <c r="C374" s="274" t="s">
        <v>842</v>
      </c>
      <c r="D374" s="276">
        <v>2.8746999999999998</v>
      </c>
      <c r="E374" s="279">
        <f t="shared" si="163"/>
        <v>0.39745530440756388</v>
      </c>
      <c r="F374" s="276">
        <v>60</v>
      </c>
      <c r="G374" s="276">
        <f t="shared" ref="G374:G375" si="167">+D374*F374/100</f>
        <v>1.72482</v>
      </c>
      <c r="H374" s="276">
        <f t="shared" ref="H374:H375" si="168">+G374*J374</f>
        <v>12.073740000000001</v>
      </c>
      <c r="I374" s="276">
        <f t="shared" ref="I374:I375" si="169">+H374/D374</f>
        <v>4.2</v>
      </c>
      <c r="J374" s="276">
        <v>7</v>
      </c>
      <c r="K374" s="296"/>
      <c r="L374" s="158"/>
    </row>
    <row r="375" spans="1:39" hidden="1" x14ac:dyDescent="0.25">
      <c r="A375" s="274"/>
      <c r="B375" s="278"/>
      <c r="C375" s="274" t="s">
        <v>843</v>
      </c>
      <c r="D375" s="276">
        <v>5.5831</v>
      </c>
      <c r="E375" s="279">
        <f t="shared" si="163"/>
        <v>0.77191801232750201</v>
      </c>
      <c r="F375" s="276">
        <v>60</v>
      </c>
      <c r="G375" s="276">
        <f t="shared" si="167"/>
        <v>3.3498600000000001</v>
      </c>
      <c r="H375" s="276">
        <f t="shared" si="168"/>
        <v>23.449020000000001</v>
      </c>
      <c r="I375" s="276">
        <f t="shared" si="169"/>
        <v>4.2</v>
      </c>
      <c r="J375" s="276">
        <v>7</v>
      </c>
      <c r="K375" s="296"/>
      <c r="L375" s="158"/>
    </row>
    <row r="376" spans="1:39" x14ac:dyDescent="0.25">
      <c r="A376" s="269">
        <v>1.3</v>
      </c>
      <c r="B376" s="270" t="s">
        <v>118</v>
      </c>
      <c r="C376" s="269"/>
      <c r="D376" s="271">
        <f>+SUM(D377:D378)</f>
        <v>1.2</v>
      </c>
      <c r="E376" s="292">
        <f t="shared" si="163"/>
        <v>0.16591170045189993</v>
      </c>
      <c r="F376" s="271">
        <v>40</v>
      </c>
      <c r="G376" s="271">
        <f t="shared" ref="G376:G381" si="170">+D376*F376/100</f>
        <v>0.48</v>
      </c>
      <c r="H376" s="271">
        <f t="shared" ref="H376:H381" si="171">+G376*J376</f>
        <v>2.4</v>
      </c>
      <c r="I376" s="271">
        <f t="shared" ref="I376:I381" si="172">+H376/D376</f>
        <v>2</v>
      </c>
      <c r="J376" s="271">
        <v>5</v>
      </c>
      <c r="K376" s="293"/>
      <c r="L376" s="158"/>
    </row>
    <row r="377" spans="1:39" hidden="1" x14ac:dyDescent="0.25">
      <c r="A377" s="269"/>
      <c r="B377" s="278" t="s">
        <v>93</v>
      </c>
      <c r="C377" s="274" t="s">
        <v>790</v>
      </c>
      <c r="D377" s="276">
        <v>0.61</v>
      </c>
      <c r="E377" s="279">
        <f t="shared" si="163"/>
        <v>8.4338447729715799E-2</v>
      </c>
      <c r="F377" s="276">
        <v>40</v>
      </c>
      <c r="G377" s="276">
        <f t="shared" si="170"/>
        <v>0.24399999999999999</v>
      </c>
      <c r="H377" s="276">
        <f t="shared" si="171"/>
        <v>0.73199999999999998</v>
      </c>
      <c r="I377" s="276">
        <f t="shared" si="172"/>
        <v>1.2</v>
      </c>
      <c r="J377" s="276">
        <v>3</v>
      </c>
      <c r="K377" s="296"/>
      <c r="L377" s="158"/>
    </row>
    <row r="378" spans="1:39" hidden="1" x14ac:dyDescent="0.25">
      <c r="A378" s="274"/>
      <c r="B378" s="278"/>
      <c r="C378" s="274" t="s">
        <v>791</v>
      </c>
      <c r="D378" s="276">
        <v>0.59</v>
      </c>
      <c r="E378" s="279">
        <f t="shared" si="163"/>
        <v>8.1573252722184131E-2</v>
      </c>
      <c r="F378" s="276">
        <v>40</v>
      </c>
      <c r="G378" s="276">
        <f t="shared" si="170"/>
        <v>0.23599999999999999</v>
      </c>
      <c r="H378" s="276">
        <f t="shared" si="171"/>
        <v>0.70799999999999996</v>
      </c>
      <c r="I378" s="276">
        <f t="shared" si="172"/>
        <v>1.2</v>
      </c>
      <c r="J378" s="276">
        <v>3</v>
      </c>
      <c r="K378" s="296"/>
      <c r="L378" s="158"/>
    </row>
    <row r="379" spans="1:39" s="54" customFormat="1" x14ac:dyDescent="0.25">
      <c r="A379" s="269">
        <v>1.4</v>
      </c>
      <c r="B379" s="270" t="s">
        <v>47</v>
      </c>
      <c r="C379" s="269" t="s">
        <v>795</v>
      </c>
      <c r="D379" s="271">
        <v>0.13</v>
      </c>
      <c r="E379" s="292">
        <f t="shared" si="163"/>
        <v>1.7973767548955823E-2</v>
      </c>
      <c r="F379" s="271">
        <v>40</v>
      </c>
      <c r="G379" s="271">
        <f t="shared" si="170"/>
        <v>5.2000000000000005E-2</v>
      </c>
      <c r="H379" s="271">
        <f t="shared" si="171"/>
        <v>0.15600000000000003</v>
      </c>
      <c r="I379" s="271">
        <f t="shared" si="172"/>
        <v>1.2000000000000002</v>
      </c>
      <c r="J379" s="271">
        <v>3</v>
      </c>
      <c r="K379" s="293"/>
      <c r="L379" s="180"/>
      <c r="M379" s="180"/>
      <c r="N379" s="178"/>
      <c r="O379" s="180"/>
      <c r="P379" s="180"/>
      <c r="Q379" s="180"/>
      <c r="R379" s="180"/>
      <c r="S379" s="179"/>
      <c r="T379" s="179"/>
      <c r="U379" s="179"/>
      <c r="V379" s="179"/>
      <c r="W379" s="179"/>
      <c r="X379" s="179"/>
      <c r="Y379" s="179"/>
      <c r="Z379" s="179"/>
      <c r="AA379" s="179"/>
      <c r="AB379" s="179"/>
      <c r="AC379" s="179"/>
      <c r="AD379" s="179"/>
      <c r="AE379" s="179"/>
      <c r="AF379" s="179"/>
      <c r="AG379" s="179"/>
      <c r="AH379" s="179"/>
      <c r="AI379" s="179"/>
      <c r="AJ379" s="179"/>
      <c r="AK379" s="191"/>
      <c r="AL379" s="191"/>
      <c r="AM379" s="191"/>
    </row>
    <row r="380" spans="1:39" s="54" customFormat="1" x14ac:dyDescent="0.25">
      <c r="A380" s="269">
        <v>1.5</v>
      </c>
      <c r="B380" s="270" t="s">
        <v>91</v>
      </c>
      <c r="C380" s="269" t="s">
        <v>814</v>
      </c>
      <c r="D380" s="271">
        <v>7.0000000000000007E-2</v>
      </c>
      <c r="E380" s="292">
        <f t="shared" si="163"/>
        <v>9.6781825263608304E-3</v>
      </c>
      <c r="F380" s="271">
        <v>40</v>
      </c>
      <c r="G380" s="271">
        <f t="shared" si="170"/>
        <v>2.8000000000000004E-2</v>
      </c>
      <c r="H380" s="271">
        <f t="shared" si="171"/>
        <v>8.4000000000000019E-2</v>
      </c>
      <c r="I380" s="271">
        <f t="shared" si="172"/>
        <v>1.2000000000000002</v>
      </c>
      <c r="J380" s="271">
        <v>3</v>
      </c>
      <c r="K380" s="293"/>
      <c r="L380" s="180"/>
      <c r="M380" s="180"/>
      <c r="N380" s="178"/>
      <c r="O380" s="180"/>
      <c r="P380" s="180"/>
      <c r="Q380" s="180"/>
      <c r="R380" s="180"/>
      <c r="S380" s="179"/>
      <c r="T380" s="179"/>
      <c r="U380" s="179"/>
      <c r="V380" s="179"/>
      <c r="W380" s="179"/>
      <c r="X380" s="179"/>
      <c r="Y380" s="179"/>
      <c r="Z380" s="179"/>
      <c r="AA380" s="179"/>
      <c r="AB380" s="179"/>
      <c r="AC380" s="179"/>
      <c r="AD380" s="179"/>
      <c r="AE380" s="179"/>
      <c r="AF380" s="179"/>
      <c r="AG380" s="179"/>
      <c r="AH380" s="179"/>
      <c r="AI380" s="179"/>
      <c r="AJ380" s="179"/>
      <c r="AK380" s="191"/>
      <c r="AL380" s="191"/>
      <c r="AM380" s="191"/>
    </row>
    <row r="381" spans="1:39" x14ac:dyDescent="0.25">
      <c r="A381" s="261">
        <v>2</v>
      </c>
      <c r="B381" s="266" t="s">
        <v>596</v>
      </c>
      <c r="C381" s="302"/>
      <c r="D381" s="303">
        <f>+SUM(D382:D384)</f>
        <v>7.01</v>
      </c>
      <c r="E381" s="304">
        <f>+D381/$D$3*100</f>
        <v>0.96920085013984869</v>
      </c>
      <c r="F381" s="267">
        <v>5</v>
      </c>
      <c r="G381" s="267">
        <f t="shared" si="170"/>
        <v>0.35049999999999998</v>
      </c>
      <c r="H381" s="267">
        <f t="shared" si="171"/>
        <v>0.35049999999999998</v>
      </c>
      <c r="I381" s="267">
        <f t="shared" si="172"/>
        <v>4.9999999999999996E-2</v>
      </c>
      <c r="J381" s="267">
        <v>1</v>
      </c>
      <c r="K381" s="302"/>
      <c r="L381" s="158"/>
    </row>
    <row r="382" spans="1:39" hidden="1" x14ac:dyDescent="0.25">
      <c r="A382" s="300"/>
      <c r="B382" s="301"/>
      <c r="C382" s="274" t="s">
        <v>792</v>
      </c>
      <c r="D382" s="276">
        <v>4.51</v>
      </c>
      <c r="E382" s="276">
        <f>+D382/$D$3*100</f>
        <v>0.62355147419839052</v>
      </c>
      <c r="F382" s="276">
        <v>5</v>
      </c>
      <c r="G382" s="276">
        <f>+D382*F382/100</f>
        <v>0.22549999999999998</v>
      </c>
      <c r="H382" s="276">
        <f>+G382*J382</f>
        <v>0.22549999999999998</v>
      </c>
      <c r="I382" s="276">
        <f>+H382/D382</f>
        <v>4.9999999999999996E-2</v>
      </c>
      <c r="J382" s="276">
        <v>1</v>
      </c>
      <c r="K382" s="296"/>
      <c r="L382" s="158"/>
    </row>
    <row r="383" spans="1:39" hidden="1" x14ac:dyDescent="0.25">
      <c r="A383" s="300"/>
      <c r="B383" s="305"/>
      <c r="C383" s="274" t="s">
        <v>810</v>
      </c>
      <c r="D383" s="276">
        <v>0.65</v>
      </c>
      <c r="E383" s="276">
        <f>+D383/$D$3*100</f>
        <v>8.986883774477912E-2</v>
      </c>
      <c r="F383" s="276">
        <v>5</v>
      </c>
      <c r="G383" s="276">
        <f t="shared" ref="G383:G384" si="173">+D383*F383/100</f>
        <v>3.2500000000000001E-2</v>
      </c>
      <c r="H383" s="276">
        <f t="shared" ref="H383:H384" si="174">+G383*J383</f>
        <v>3.2500000000000001E-2</v>
      </c>
      <c r="I383" s="276">
        <f t="shared" ref="I383:I384" si="175">+H383/D383</f>
        <v>0.05</v>
      </c>
      <c r="J383" s="276">
        <v>1</v>
      </c>
      <c r="K383" s="296"/>
      <c r="L383" s="158"/>
    </row>
    <row r="384" spans="1:39" hidden="1" x14ac:dyDescent="0.25">
      <c r="A384" s="300"/>
      <c r="B384" s="305"/>
      <c r="C384" s="274" t="s">
        <v>816</v>
      </c>
      <c r="D384" s="276">
        <v>1.85</v>
      </c>
      <c r="E384" s="306">
        <f>+D384/$D$3*100</f>
        <v>0.25578053819667906</v>
      </c>
      <c r="F384" s="276">
        <v>5</v>
      </c>
      <c r="G384" s="276">
        <f t="shared" si="173"/>
        <v>9.2499999999999999E-2</v>
      </c>
      <c r="H384" s="276">
        <f t="shared" si="174"/>
        <v>9.2499999999999999E-2</v>
      </c>
      <c r="I384" s="276">
        <f t="shared" si="175"/>
        <v>4.9999999999999996E-2</v>
      </c>
      <c r="J384" s="276">
        <v>1</v>
      </c>
      <c r="K384" s="296"/>
      <c r="L384" s="158"/>
    </row>
    <row r="385" spans="1:141" x14ac:dyDescent="0.25">
      <c r="A385" s="284">
        <v>3</v>
      </c>
      <c r="B385" s="307" t="s">
        <v>618</v>
      </c>
      <c r="C385" s="284"/>
      <c r="D385" s="304">
        <f>+SUM(D386:D387)</f>
        <v>1.0899999999999999</v>
      </c>
      <c r="E385" s="267">
        <f t="shared" si="163"/>
        <v>0.15070312791047574</v>
      </c>
      <c r="F385" s="304">
        <v>40</v>
      </c>
      <c r="G385" s="267">
        <f t="shared" ref="G385:G387" si="176">+D385*F385/100</f>
        <v>0.43599999999999994</v>
      </c>
      <c r="H385" s="267">
        <f t="shared" ref="H385:H387" si="177">+G385*J385</f>
        <v>2.1799999999999997</v>
      </c>
      <c r="I385" s="267">
        <f t="shared" ref="I385:I387" si="178">+H385/D385</f>
        <v>2</v>
      </c>
      <c r="J385" s="304">
        <v>5</v>
      </c>
      <c r="K385" s="291"/>
      <c r="L385" s="158"/>
    </row>
    <row r="386" spans="1:141" s="132" customFormat="1" hidden="1" x14ac:dyDescent="0.25">
      <c r="A386" s="274"/>
      <c r="B386" s="278"/>
      <c r="C386" s="274" t="s">
        <v>793</v>
      </c>
      <c r="D386" s="276">
        <v>0.59</v>
      </c>
      <c r="E386" s="276">
        <f t="shared" si="163"/>
        <v>8.1573252722184131E-2</v>
      </c>
      <c r="F386" s="276">
        <v>40</v>
      </c>
      <c r="G386" s="276">
        <f t="shared" si="176"/>
        <v>0.23599999999999999</v>
      </c>
      <c r="H386" s="276">
        <f t="shared" si="177"/>
        <v>1.18</v>
      </c>
      <c r="I386" s="276">
        <f t="shared" si="178"/>
        <v>2</v>
      </c>
      <c r="J386" s="276">
        <v>5</v>
      </c>
      <c r="K386" s="296"/>
      <c r="L386" s="158"/>
      <c r="M386" s="158"/>
      <c r="N386" s="159"/>
      <c r="O386" s="158"/>
      <c r="P386" s="158"/>
      <c r="Q386" s="158"/>
      <c r="R386" s="158"/>
      <c r="S386" s="94"/>
      <c r="T386" s="94"/>
      <c r="U386" s="94"/>
      <c r="V386" s="94"/>
      <c r="W386" s="94"/>
      <c r="X386" s="94"/>
      <c r="Y386" s="94"/>
      <c r="Z386" s="94"/>
      <c r="AA386" s="94"/>
      <c r="AB386" s="94"/>
      <c r="AC386" s="94"/>
      <c r="AD386" s="94"/>
      <c r="AE386" s="94"/>
      <c r="AF386" s="94"/>
      <c r="AG386" s="94"/>
      <c r="AH386" s="94"/>
      <c r="AI386" s="94"/>
      <c r="AJ386" s="94"/>
      <c r="AK386" s="160"/>
      <c r="AL386" s="160"/>
      <c r="AM386" s="160"/>
      <c r="AN386" s="88"/>
      <c r="AO386" s="88"/>
      <c r="AP386" s="88"/>
      <c r="AQ386" s="88"/>
      <c r="AR386" s="88"/>
      <c r="AS386" s="88"/>
      <c r="AT386" s="88"/>
      <c r="AU386" s="88"/>
      <c r="AV386" s="88"/>
      <c r="AW386" s="88"/>
      <c r="AX386" s="88"/>
      <c r="AY386" s="88"/>
      <c r="AZ386" s="88"/>
      <c r="BA386" s="88"/>
      <c r="BB386" s="88"/>
      <c r="BC386" s="88"/>
      <c r="BD386" s="88"/>
      <c r="BE386" s="88"/>
      <c r="BF386" s="88"/>
      <c r="BG386" s="88"/>
      <c r="BH386" s="88"/>
      <c r="BI386" s="88"/>
      <c r="BJ386" s="88"/>
      <c r="BK386" s="88"/>
      <c r="BL386" s="88"/>
      <c r="BM386" s="88"/>
      <c r="BN386" s="88"/>
      <c r="BO386" s="88"/>
      <c r="BP386" s="88"/>
      <c r="BQ386" s="88"/>
      <c r="BR386" s="88"/>
      <c r="BS386" s="88"/>
      <c r="BT386" s="88"/>
      <c r="BU386" s="88"/>
      <c r="BV386" s="88"/>
      <c r="BW386" s="88"/>
      <c r="BX386" s="88"/>
      <c r="BY386" s="88"/>
      <c r="BZ386" s="88"/>
      <c r="CA386" s="88"/>
      <c r="CB386" s="88"/>
      <c r="CC386" s="88"/>
      <c r="CD386" s="88"/>
      <c r="CE386" s="88"/>
      <c r="CF386" s="88"/>
      <c r="CG386" s="88"/>
      <c r="CH386" s="88"/>
      <c r="CI386" s="88"/>
      <c r="CJ386" s="88"/>
      <c r="CK386" s="88"/>
      <c r="CL386" s="88"/>
      <c r="CM386" s="88"/>
      <c r="CN386" s="88"/>
      <c r="CO386" s="88"/>
      <c r="CP386" s="88"/>
      <c r="CQ386" s="88"/>
      <c r="CR386" s="88"/>
      <c r="CS386" s="88"/>
      <c r="CT386" s="88"/>
      <c r="CU386" s="88"/>
      <c r="CV386" s="88"/>
      <c r="CW386" s="88"/>
      <c r="CX386" s="88"/>
      <c r="CY386" s="88"/>
      <c r="CZ386" s="88"/>
      <c r="DA386" s="88"/>
      <c r="DB386" s="88"/>
      <c r="DC386" s="88"/>
      <c r="DD386" s="88"/>
      <c r="DE386" s="88"/>
      <c r="DF386" s="88"/>
      <c r="DG386" s="88"/>
      <c r="DH386" s="88"/>
      <c r="DI386" s="88"/>
      <c r="DJ386" s="88"/>
      <c r="DK386" s="88"/>
      <c r="DL386" s="88"/>
      <c r="DM386" s="88"/>
      <c r="DN386" s="88"/>
      <c r="DO386" s="88"/>
      <c r="DP386" s="88"/>
      <c r="DQ386" s="88"/>
      <c r="DR386" s="88"/>
      <c r="DS386" s="88"/>
      <c r="DT386" s="88"/>
      <c r="DU386" s="88"/>
      <c r="DV386" s="88"/>
      <c r="DW386" s="88"/>
      <c r="DX386" s="88"/>
      <c r="DY386" s="88"/>
      <c r="DZ386" s="88"/>
      <c r="EA386" s="88"/>
      <c r="EB386" s="88"/>
      <c r="EC386" s="88"/>
      <c r="ED386" s="88"/>
      <c r="EE386" s="88"/>
      <c r="EF386" s="88"/>
      <c r="EG386" s="88"/>
      <c r="EH386" s="88"/>
      <c r="EI386" s="88"/>
      <c r="EJ386" s="88"/>
      <c r="EK386" s="88"/>
    </row>
    <row r="387" spans="1:141" s="132" customFormat="1" hidden="1" x14ac:dyDescent="0.25">
      <c r="A387" s="274"/>
      <c r="B387" s="278"/>
      <c r="C387" s="274" t="s">
        <v>794</v>
      </c>
      <c r="D387" s="276">
        <v>0.5</v>
      </c>
      <c r="E387" s="276">
        <f t="shared" si="163"/>
        <v>6.9129875188291626E-2</v>
      </c>
      <c r="F387" s="276">
        <v>40</v>
      </c>
      <c r="G387" s="276">
        <f t="shared" si="176"/>
        <v>0.2</v>
      </c>
      <c r="H387" s="276">
        <f t="shared" si="177"/>
        <v>1</v>
      </c>
      <c r="I387" s="276">
        <f t="shared" si="178"/>
        <v>2</v>
      </c>
      <c r="J387" s="276">
        <v>5</v>
      </c>
      <c r="K387" s="296"/>
      <c r="L387" s="158"/>
      <c r="M387" s="158"/>
      <c r="N387" s="159"/>
      <c r="O387" s="158"/>
      <c r="P387" s="158"/>
      <c r="Q387" s="158"/>
      <c r="R387" s="158"/>
      <c r="S387" s="94"/>
      <c r="T387" s="94"/>
      <c r="U387" s="94"/>
      <c r="V387" s="94"/>
      <c r="W387" s="94"/>
      <c r="X387" s="94"/>
      <c r="Y387" s="94"/>
      <c r="Z387" s="94"/>
      <c r="AA387" s="94"/>
      <c r="AB387" s="94"/>
      <c r="AC387" s="94"/>
      <c r="AD387" s="94"/>
      <c r="AE387" s="94"/>
      <c r="AF387" s="94"/>
      <c r="AG387" s="94"/>
      <c r="AH387" s="94"/>
      <c r="AI387" s="94"/>
      <c r="AJ387" s="94"/>
      <c r="AK387" s="160"/>
      <c r="AL387" s="160"/>
      <c r="AM387" s="160"/>
      <c r="AN387" s="88"/>
      <c r="AO387" s="88"/>
      <c r="AP387" s="88"/>
      <c r="AQ387" s="88"/>
      <c r="AR387" s="88"/>
      <c r="AS387" s="88"/>
      <c r="AT387" s="88"/>
      <c r="AU387" s="88"/>
      <c r="AV387" s="88"/>
      <c r="AW387" s="88"/>
      <c r="AX387" s="88"/>
      <c r="AY387" s="88"/>
      <c r="AZ387" s="88"/>
      <c r="BA387" s="88"/>
      <c r="BB387" s="88"/>
      <c r="BC387" s="88"/>
      <c r="BD387" s="88"/>
      <c r="BE387" s="88"/>
      <c r="BF387" s="88"/>
      <c r="BG387" s="88"/>
      <c r="BH387" s="88"/>
      <c r="BI387" s="88"/>
      <c r="BJ387" s="88"/>
      <c r="BK387" s="88"/>
      <c r="BL387" s="88"/>
      <c r="BM387" s="88"/>
      <c r="BN387" s="88"/>
      <c r="BO387" s="88"/>
      <c r="BP387" s="88"/>
      <c r="BQ387" s="88"/>
      <c r="BR387" s="88"/>
      <c r="BS387" s="88"/>
      <c r="BT387" s="88"/>
      <c r="BU387" s="88"/>
      <c r="BV387" s="88"/>
      <c r="BW387" s="88"/>
      <c r="BX387" s="88"/>
      <c r="BY387" s="88"/>
      <c r="BZ387" s="88"/>
      <c r="CA387" s="88"/>
      <c r="CB387" s="88"/>
      <c r="CC387" s="88"/>
      <c r="CD387" s="88"/>
      <c r="CE387" s="88"/>
      <c r="CF387" s="88"/>
      <c r="CG387" s="88"/>
      <c r="CH387" s="88"/>
      <c r="CI387" s="88"/>
      <c r="CJ387" s="88"/>
      <c r="CK387" s="88"/>
      <c r="CL387" s="88"/>
      <c r="CM387" s="88"/>
      <c r="CN387" s="88"/>
      <c r="CO387" s="88"/>
      <c r="CP387" s="88"/>
      <c r="CQ387" s="88"/>
      <c r="CR387" s="88"/>
      <c r="CS387" s="88"/>
      <c r="CT387" s="88"/>
      <c r="CU387" s="88"/>
      <c r="CV387" s="88"/>
      <c r="CW387" s="88"/>
      <c r="CX387" s="88"/>
      <c r="CY387" s="88"/>
      <c r="CZ387" s="88"/>
      <c r="DA387" s="88"/>
      <c r="DB387" s="88"/>
      <c r="DC387" s="88"/>
      <c r="DD387" s="88"/>
      <c r="DE387" s="88"/>
      <c r="DF387" s="88"/>
      <c r="DG387" s="88"/>
      <c r="DH387" s="88"/>
      <c r="DI387" s="88"/>
      <c r="DJ387" s="88"/>
      <c r="DK387" s="88"/>
      <c r="DL387" s="88"/>
      <c r="DM387" s="88"/>
      <c r="DN387" s="88"/>
      <c r="DO387" s="88"/>
      <c r="DP387" s="88"/>
      <c r="DQ387" s="88"/>
      <c r="DR387" s="88"/>
      <c r="DS387" s="88"/>
      <c r="DT387" s="88"/>
      <c r="DU387" s="88"/>
      <c r="DV387" s="88"/>
      <c r="DW387" s="88"/>
      <c r="DX387" s="88"/>
      <c r="DY387" s="88"/>
      <c r="DZ387" s="88"/>
      <c r="EA387" s="88"/>
      <c r="EB387" s="88"/>
      <c r="EC387" s="88"/>
      <c r="ED387" s="88"/>
      <c r="EE387" s="88"/>
      <c r="EF387" s="88"/>
      <c r="EG387" s="88"/>
      <c r="EH387" s="88"/>
      <c r="EI387" s="88"/>
      <c r="EJ387" s="88"/>
      <c r="EK387" s="88"/>
    </row>
    <row r="388" spans="1:141" s="132" customFormat="1" ht="19.5" customHeight="1" x14ac:dyDescent="0.25">
      <c r="A388" s="263" t="s">
        <v>607</v>
      </c>
      <c r="B388" s="264" t="s">
        <v>595</v>
      </c>
      <c r="C388" s="274"/>
      <c r="D388" s="267">
        <f>+D389+D392+D396+D409</f>
        <v>14.1112</v>
      </c>
      <c r="E388" s="267">
        <f t="shared" si="163"/>
        <v>1.9510109895140417</v>
      </c>
      <c r="F388" s="276"/>
      <c r="G388" s="267">
        <f>+G389+G392+G396+G408+G409</f>
        <v>6.4679200000000003</v>
      </c>
      <c r="H388" s="276"/>
      <c r="I388" s="276"/>
      <c r="J388" s="276"/>
      <c r="K388" s="296"/>
      <c r="L388" s="158"/>
      <c r="M388" s="158"/>
      <c r="N388" s="159"/>
      <c r="O388" s="158"/>
      <c r="P388" s="158"/>
      <c r="Q388" s="158"/>
      <c r="R388" s="158"/>
      <c r="S388" s="94"/>
      <c r="T388" s="94"/>
      <c r="U388" s="94"/>
      <c r="V388" s="94"/>
      <c r="W388" s="94"/>
      <c r="X388" s="94"/>
      <c r="Y388" s="94"/>
      <c r="Z388" s="94"/>
      <c r="AA388" s="94"/>
      <c r="AB388" s="94"/>
      <c r="AC388" s="94"/>
      <c r="AD388" s="94"/>
      <c r="AE388" s="94"/>
      <c r="AF388" s="94"/>
      <c r="AG388" s="94"/>
      <c r="AH388" s="94"/>
      <c r="AI388" s="94"/>
      <c r="AJ388" s="94"/>
      <c r="AK388" s="160"/>
      <c r="AL388" s="160"/>
      <c r="AM388" s="160"/>
      <c r="AN388" s="88"/>
      <c r="AO388" s="88"/>
      <c r="AP388" s="88"/>
      <c r="AQ388" s="88"/>
      <c r="AR388" s="88"/>
      <c r="AS388" s="88"/>
      <c r="AT388" s="88"/>
      <c r="AU388" s="88"/>
      <c r="AV388" s="88"/>
      <c r="AW388" s="88"/>
      <c r="AX388" s="88"/>
      <c r="AY388" s="88"/>
      <c r="AZ388" s="88"/>
      <c r="BA388" s="88"/>
      <c r="BB388" s="88"/>
      <c r="BC388" s="88"/>
      <c r="BD388" s="88"/>
      <c r="BE388" s="88"/>
      <c r="BF388" s="88"/>
      <c r="BG388" s="88"/>
      <c r="BH388" s="88"/>
      <c r="BI388" s="88"/>
      <c r="BJ388" s="88"/>
      <c r="BK388" s="88"/>
      <c r="BL388" s="88"/>
      <c r="BM388" s="88"/>
      <c r="BN388" s="88"/>
      <c r="BO388" s="88"/>
      <c r="BP388" s="88"/>
      <c r="BQ388" s="88"/>
      <c r="BR388" s="88"/>
      <c r="BS388" s="88"/>
      <c r="BT388" s="88"/>
      <c r="BU388" s="88"/>
      <c r="BV388" s="88"/>
      <c r="BW388" s="88"/>
      <c r="BX388" s="88"/>
      <c r="BY388" s="88"/>
      <c r="BZ388" s="88"/>
      <c r="CA388" s="88"/>
      <c r="CB388" s="88"/>
      <c r="CC388" s="88"/>
      <c r="CD388" s="88"/>
      <c r="CE388" s="88"/>
      <c r="CF388" s="88"/>
      <c r="CG388" s="88"/>
      <c r="CH388" s="88"/>
      <c r="CI388" s="88"/>
      <c r="CJ388" s="88"/>
      <c r="CK388" s="88"/>
      <c r="CL388" s="88"/>
      <c r="CM388" s="88"/>
      <c r="CN388" s="88"/>
      <c r="CO388" s="88"/>
      <c r="CP388" s="88"/>
      <c r="CQ388" s="88"/>
      <c r="CR388" s="88"/>
      <c r="CS388" s="88"/>
      <c r="CT388" s="88"/>
      <c r="CU388" s="88"/>
      <c r="CV388" s="88"/>
      <c r="CW388" s="88"/>
      <c r="CX388" s="88"/>
      <c r="CY388" s="88"/>
      <c r="CZ388" s="88"/>
      <c r="DA388" s="88"/>
      <c r="DB388" s="88"/>
      <c r="DC388" s="88"/>
      <c r="DD388" s="88"/>
      <c r="DE388" s="88"/>
      <c r="DF388" s="88"/>
      <c r="DG388" s="88"/>
      <c r="DH388" s="88"/>
      <c r="DI388" s="88"/>
      <c r="DJ388" s="88"/>
      <c r="DK388" s="88"/>
      <c r="DL388" s="88"/>
      <c r="DM388" s="88"/>
      <c r="DN388" s="88"/>
      <c r="DO388" s="88"/>
      <c r="DP388" s="88"/>
      <c r="DQ388" s="88"/>
      <c r="DR388" s="88"/>
      <c r="DS388" s="88"/>
      <c r="DT388" s="88"/>
      <c r="DU388" s="88"/>
      <c r="DV388" s="88"/>
      <c r="DW388" s="88"/>
      <c r="DX388" s="88"/>
      <c r="DY388" s="88"/>
      <c r="DZ388" s="88"/>
      <c r="EA388" s="88"/>
      <c r="EB388" s="88"/>
      <c r="EC388" s="88"/>
      <c r="ED388" s="88"/>
      <c r="EE388" s="88"/>
      <c r="EF388" s="88"/>
      <c r="EG388" s="88"/>
      <c r="EH388" s="88"/>
      <c r="EI388" s="88"/>
      <c r="EJ388" s="88"/>
      <c r="EK388" s="88"/>
    </row>
    <row r="389" spans="1:141" s="132" customFormat="1" x14ac:dyDescent="0.25">
      <c r="A389" s="261">
        <v>1</v>
      </c>
      <c r="B389" s="266" t="s">
        <v>92</v>
      </c>
      <c r="C389" s="261"/>
      <c r="D389" s="267">
        <f>+D390+D391</f>
        <v>1.1200000000000001</v>
      </c>
      <c r="E389" s="267">
        <f t="shared" ref="E389:E406" si="179">+D389/$D$3*100</f>
        <v>0.15485092042177329</v>
      </c>
      <c r="F389" s="267">
        <v>40</v>
      </c>
      <c r="G389" s="267">
        <f>+G390+G391</f>
        <v>0.44799999999999995</v>
      </c>
      <c r="H389" s="267">
        <f>+H390+H391</f>
        <v>2.2400000000000002</v>
      </c>
      <c r="I389" s="267">
        <f t="shared" ref="I389:I391" si="180">+H389/D389</f>
        <v>2</v>
      </c>
      <c r="J389" s="267">
        <v>5</v>
      </c>
      <c r="K389" s="296"/>
      <c r="L389" s="158"/>
      <c r="M389" s="158"/>
      <c r="N389" s="159"/>
      <c r="O389" s="158"/>
      <c r="P389" s="158"/>
      <c r="Q389" s="158"/>
      <c r="R389" s="158"/>
      <c r="S389" s="94"/>
      <c r="T389" s="94"/>
      <c r="U389" s="94"/>
      <c r="V389" s="94"/>
      <c r="W389" s="94"/>
      <c r="X389" s="94"/>
      <c r="Y389" s="94"/>
      <c r="Z389" s="94"/>
      <c r="AA389" s="94"/>
      <c r="AB389" s="94"/>
      <c r="AC389" s="94"/>
      <c r="AD389" s="94"/>
      <c r="AE389" s="94"/>
      <c r="AF389" s="94"/>
      <c r="AG389" s="94"/>
      <c r="AH389" s="94"/>
      <c r="AI389" s="94"/>
      <c r="AJ389" s="94"/>
      <c r="AK389" s="160"/>
      <c r="AL389" s="160"/>
      <c r="AM389" s="160"/>
      <c r="AN389" s="88"/>
      <c r="AO389" s="88"/>
      <c r="AP389" s="88"/>
      <c r="AQ389" s="88"/>
      <c r="AR389" s="88"/>
      <c r="AS389" s="88"/>
      <c r="AT389" s="88"/>
      <c r="AU389" s="88"/>
      <c r="AV389" s="88"/>
      <c r="AW389" s="88"/>
      <c r="AX389" s="88"/>
      <c r="AY389" s="88"/>
      <c r="AZ389" s="88"/>
      <c r="BA389" s="88"/>
      <c r="BB389" s="88"/>
      <c r="BC389" s="88"/>
      <c r="BD389" s="88"/>
      <c r="BE389" s="88"/>
      <c r="BF389" s="88"/>
      <c r="BG389" s="88"/>
      <c r="BH389" s="88"/>
      <c r="BI389" s="88"/>
      <c r="BJ389" s="88"/>
      <c r="BK389" s="88"/>
      <c r="BL389" s="88"/>
      <c r="BM389" s="88"/>
      <c r="BN389" s="88"/>
      <c r="BO389" s="88"/>
      <c r="BP389" s="88"/>
      <c r="BQ389" s="88"/>
      <c r="BR389" s="88"/>
      <c r="BS389" s="88"/>
      <c r="BT389" s="88"/>
      <c r="BU389" s="88"/>
      <c r="BV389" s="88"/>
      <c r="BW389" s="88"/>
      <c r="BX389" s="88"/>
      <c r="BY389" s="88"/>
      <c r="BZ389" s="88"/>
      <c r="CA389" s="88"/>
      <c r="CB389" s="88"/>
      <c r="CC389" s="88"/>
      <c r="CD389" s="88"/>
      <c r="CE389" s="88"/>
      <c r="CF389" s="88"/>
      <c r="CG389" s="88"/>
      <c r="CH389" s="88"/>
      <c r="CI389" s="88"/>
      <c r="CJ389" s="88"/>
      <c r="CK389" s="88"/>
      <c r="CL389" s="88"/>
      <c r="CM389" s="88"/>
      <c r="CN389" s="88"/>
      <c r="CO389" s="88"/>
      <c r="CP389" s="88"/>
      <c r="CQ389" s="88"/>
      <c r="CR389" s="88"/>
      <c r="CS389" s="88"/>
      <c r="CT389" s="88"/>
      <c r="CU389" s="88"/>
      <c r="CV389" s="88"/>
      <c r="CW389" s="88"/>
      <c r="CX389" s="88"/>
      <c r="CY389" s="88"/>
      <c r="CZ389" s="88"/>
      <c r="DA389" s="88"/>
      <c r="DB389" s="88"/>
      <c r="DC389" s="88"/>
      <c r="DD389" s="88"/>
      <c r="DE389" s="88"/>
      <c r="DF389" s="88"/>
      <c r="DG389" s="88"/>
      <c r="DH389" s="88"/>
      <c r="DI389" s="88"/>
      <c r="DJ389" s="88"/>
      <c r="DK389" s="88"/>
      <c r="DL389" s="88"/>
      <c r="DM389" s="88"/>
      <c r="DN389" s="88"/>
      <c r="DO389" s="88"/>
      <c r="DP389" s="88"/>
      <c r="DQ389" s="88"/>
      <c r="DR389" s="88"/>
      <c r="DS389" s="88"/>
      <c r="DT389" s="88"/>
      <c r="DU389" s="88"/>
      <c r="DV389" s="88"/>
      <c r="DW389" s="88"/>
      <c r="DX389" s="88"/>
      <c r="DY389" s="88"/>
      <c r="DZ389" s="88"/>
      <c r="EA389" s="88"/>
      <c r="EB389" s="88"/>
      <c r="EC389" s="88"/>
      <c r="ED389" s="88"/>
      <c r="EE389" s="88"/>
      <c r="EF389" s="88"/>
      <c r="EG389" s="88"/>
      <c r="EH389" s="88"/>
      <c r="EI389" s="88"/>
      <c r="EJ389" s="88"/>
      <c r="EK389" s="88"/>
    </row>
    <row r="390" spans="1:141" s="132" customFormat="1" hidden="1" x14ac:dyDescent="0.25">
      <c r="A390" s="274"/>
      <c r="B390" s="278"/>
      <c r="C390" s="274" t="s">
        <v>796</v>
      </c>
      <c r="D390" s="276">
        <v>0.36</v>
      </c>
      <c r="E390" s="276">
        <f t="shared" ref="E390" si="181">+D390/$D$3*100</f>
        <v>4.9773510135569979E-2</v>
      </c>
      <c r="F390" s="276">
        <v>40</v>
      </c>
      <c r="G390" s="276">
        <f t="shared" ref="G390" si="182">+D390*F390/100</f>
        <v>0.14399999999999999</v>
      </c>
      <c r="H390" s="276">
        <f t="shared" ref="H390" si="183">+G390*J390</f>
        <v>0.72</v>
      </c>
      <c r="I390" s="276">
        <f t="shared" ref="I390" si="184">+H390/D390</f>
        <v>2</v>
      </c>
      <c r="J390" s="276">
        <v>5</v>
      </c>
      <c r="K390" s="296"/>
      <c r="L390" s="158"/>
      <c r="M390" s="158"/>
      <c r="N390" s="159"/>
      <c r="O390" s="158"/>
      <c r="P390" s="158"/>
      <c r="Q390" s="158"/>
      <c r="R390" s="158"/>
      <c r="S390" s="94"/>
      <c r="T390" s="94"/>
      <c r="U390" s="94"/>
      <c r="V390" s="94"/>
      <c r="W390" s="94"/>
      <c r="X390" s="94"/>
      <c r="Y390" s="94"/>
      <c r="Z390" s="94"/>
      <c r="AA390" s="94"/>
      <c r="AB390" s="94"/>
      <c r="AC390" s="94"/>
      <c r="AD390" s="94"/>
      <c r="AE390" s="94"/>
      <c r="AF390" s="94"/>
      <c r="AG390" s="94"/>
      <c r="AH390" s="94"/>
      <c r="AI390" s="94"/>
      <c r="AJ390" s="94"/>
      <c r="AK390" s="160"/>
      <c r="AL390" s="160"/>
      <c r="AM390" s="160"/>
      <c r="AN390" s="88"/>
      <c r="AO390" s="88"/>
      <c r="AP390" s="88"/>
      <c r="AQ390" s="88"/>
      <c r="AR390" s="88"/>
      <c r="AS390" s="88"/>
      <c r="AT390" s="88"/>
      <c r="AU390" s="88"/>
      <c r="AV390" s="88"/>
      <c r="AW390" s="88"/>
      <c r="AX390" s="88"/>
      <c r="AY390" s="88"/>
      <c r="AZ390" s="88"/>
      <c r="BA390" s="88"/>
      <c r="BB390" s="88"/>
      <c r="BC390" s="88"/>
      <c r="BD390" s="88"/>
      <c r="BE390" s="88"/>
      <c r="BF390" s="88"/>
      <c r="BG390" s="88"/>
      <c r="BH390" s="88"/>
      <c r="BI390" s="88"/>
      <c r="BJ390" s="88"/>
      <c r="BK390" s="88"/>
      <c r="BL390" s="88"/>
      <c r="BM390" s="88"/>
      <c r="BN390" s="88"/>
      <c r="BO390" s="88"/>
      <c r="BP390" s="88"/>
      <c r="BQ390" s="88"/>
      <c r="BR390" s="88"/>
      <c r="BS390" s="88"/>
      <c r="BT390" s="88"/>
      <c r="BU390" s="88"/>
      <c r="BV390" s="88"/>
      <c r="BW390" s="88"/>
      <c r="BX390" s="88"/>
      <c r="BY390" s="88"/>
      <c r="BZ390" s="88"/>
      <c r="CA390" s="88"/>
      <c r="CB390" s="88"/>
      <c r="CC390" s="88"/>
      <c r="CD390" s="88"/>
      <c r="CE390" s="88"/>
      <c r="CF390" s="88"/>
      <c r="CG390" s="88"/>
      <c r="CH390" s="88"/>
      <c r="CI390" s="88"/>
      <c r="CJ390" s="88"/>
      <c r="CK390" s="88"/>
      <c r="CL390" s="88"/>
      <c r="CM390" s="88"/>
      <c r="CN390" s="88"/>
      <c r="CO390" s="88"/>
      <c r="CP390" s="88"/>
      <c r="CQ390" s="88"/>
      <c r="CR390" s="88"/>
      <c r="CS390" s="88"/>
      <c r="CT390" s="88"/>
      <c r="CU390" s="88"/>
      <c r="CV390" s="88"/>
      <c r="CW390" s="88"/>
      <c r="CX390" s="88"/>
      <c r="CY390" s="88"/>
      <c r="CZ390" s="88"/>
      <c r="DA390" s="88"/>
      <c r="DB390" s="88"/>
      <c r="DC390" s="88"/>
      <c r="DD390" s="88"/>
      <c r="DE390" s="88"/>
      <c r="DF390" s="88"/>
      <c r="DG390" s="88"/>
      <c r="DH390" s="88"/>
      <c r="DI390" s="88"/>
      <c r="DJ390" s="88"/>
      <c r="DK390" s="88"/>
      <c r="DL390" s="88"/>
      <c r="DM390" s="88"/>
      <c r="DN390" s="88"/>
      <c r="DO390" s="88"/>
      <c r="DP390" s="88"/>
      <c r="DQ390" s="88"/>
      <c r="DR390" s="88"/>
      <c r="DS390" s="88"/>
      <c r="DT390" s="88"/>
      <c r="DU390" s="88"/>
      <c r="DV390" s="88"/>
      <c r="DW390" s="88"/>
      <c r="DX390" s="88"/>
      <c r="DY390" s="88"/>
      <c r="DZ390" s="88"/>
      <c r="EA390" s="88"/>
      <c r="EB390" s="88"/>
      <c r="EC390" s="88"/>
      <c r="ED390" s="88"/>
      <c r="EE390" s="88"/>
      <c r="EF390" s="88"/>
      <c r="EG390" s="88"/>
      <c r="EH390" s="88"/>
      <c r="EI390" s="88"/>
      <c r="EJ390" s="88"/>
      <c r="EK390" s="88"/>
    </row>
    <row r="391" spans="1:141" s="132" customFormat="1" hidden="1" x14ac:dyDescent="0.25">
      <c r="A391" s="274"/>
      <c r="B391" s="278"/>
      <c r="C391" s="274" t="s">
        <v>1202</v>
      </c>
      <c r="D391" s="276">
        <v>0.76</v>
      </c>
      <c r="E391" s="276">
        <f t="shared" ref="E391" si="185">+D391/$D$3*100</f>
        <v>0.10507741028620329</v>
      </c>
      <c r="F391" s="276">
        <v>40</v>
      </c>
      <c r="G391" s="276">
        <f t="shared" ref="G391" si="186">+D391*F391/100</f>
        <v>0.30399999999999999</v>
      </c>
      <c r="H391" s="276">
        <f t="shared" ref="H391" si="187">+G391*J391</f>
        <v>1.52</v>
      </c>
      <c r="I391" s="276">
        <f t="shared" si="180"/>
        <v>2</v>
      </c>
      <c r="J391" s="276">
        <v>5</v>
      </c>
      <c r="K391" s="296"/>
      <c r="L391" s="158"/>
      <c r="M391" s="158"/>
      <c r="N391" s="159"/>
      <c r="O391" s="158"/>
      <c r="P391" s="158"/>
      <c r="Q391" s="158"/>
      <c r="R391" s="158"/>
      <c r="S391" s="94"/>
      <c r="T391" s="94"/>
      <c r="U391" s="94"/>
      <c r="V391" s="94"/>
      <c r="W391" s="94"/>
      <c r="X391" s="94"/>
      <c r="Y391" s="94"/>
      <c r="Z391" s="94"/>
      <c r="AA391" s="94"/>
      <c r="AB391" s="94"/>
      <c r="AC391" s="94"/>
      <c r="AD391" s="94"/>
      <c r="AE391" s="94"/>
      <c r="AF391" s="94"/>
      <c r="AG391" s="94"/>
      <c r="AH391" s="94"/>
      <c r="AI391" s="94"/>
      <c r="AJ391" s="94"/>
      <c r="AK391" s="160"/>
      <c r="AL391" s="160"/>
      <c r="AM391" s="160"/>
      <c r="AN391" s="88"/>
      <c r="AO391" s="88"/>
      <c r="AP391" s="88"/>
      <c r="AQ391" s="88"/>
      <c r="AR391" s="88"/>
      <c r="AS391" s="88"/>
      <c r="AT391" s="88"/>
      <c r="AU391" s="88"/>
      <c r="AV391" s="88"/>
      <c r="AW391" s="88"/>
      <c r="AX391" s="88"/>
      <c r="AY391" s="88"/>
      <c r="AZ391" s="88"/>
      <c r="BA391" s="88"/>
      <c r="BB391" s="88"/>
      <c r="BC391" s="88"/>
      <c r="BD391" s="88"/>
      <c r="BE391" s="88"/>
      <c r="BF391" s="88"/>
      <c r="BG391" s="88"/>
      <c r="BH391" s="88"/>
      <c r="BI391" s="88"/>
      <c r="BJ391" s="88"/>
      <c r="BK391" s="88"/>
      <c r="BL391" s="88"/>
      <c r="BM391" s="88"/>
      <c r="BN391" s="88"/>
      <c r="BO391" s="88"/>
      <c r="BP391" s="88"/>
      <c r="BQ391" s="88"/>
      <c r="BR391" s="88"/>
      <c r="BS391" s="88"/>
      <c r="BT391" s="88"/>
      <c r="BU391" s="88"/>
      <c r="BV391" s="88"/>
      <c r="BW391" s="88"/>
      <c r="BX391" s="88"/>
      <c r="BY391" s="88"/>
      <c r="BZ391" s="88"/>
      <c r="CA391" s="88"/>
      <c r="CB391" s="88"/>
      <c r="CC391" s="88"/>
      <c r="CD391" s="88"/>
      <c r="CE391" s="88"/>
      <c r="CF391" s="88"/>
      <c r="CG391" s="88"/>
      <c r="CH391" s="88"/>
      <c r="CI391" s="88"/>
      <c r="CJ391" s="88"/>
      <c r="CK391" s="88"/>
      <c r="CL391" s="88"/>
      <c r="CM391" s="88"/>
      <c r="CN391" s="88"/>
      <c r="CO391" s="88"/>
      <c r="CP391" s="88"/>
      <c r="CQ391" s="88"/>
      <c r="CR391" s="88"/>
      <c r="CS391" s="88"/>
      <c r="CT391" s="88"/>
      <c r="CU391" s="88"/>
      <c r="CV391" s="88"/>
      <c r="CW391" s="88"/>
      <c r="CX391" s="88"/>
      <c r="CY391" s="88"/>
      <c r="CZ391" s="88"/>
      <c r="DA391" s="88"/>
      <c r="DB391" s="88"/>
      <c r="DC391" s="88"/>
      <c r="DD391" s="88"/>
      <c r="DE391" s="88"/>
      <c r="DF391" s="88"/>
      <c r="DG391" s="88"/>
      <c r="DH391" s="88"/>
      <c r="DI391" s="88"/>
      <c r="DJ391" s="88"/>
      <c r="DK391" s="88"/>
      <c r="DL391" s="88"/>
      <c r="DM391" s="88"/>
      <c r="DN391" s="88"/>
      <c r="DO391" s="88"/>
      <c r="DP391" s="88"/>
      <c r="DQ391" s="88"/>
      <c r="DR391" s="88"/>
      <c r="DS391" s="88"/>
      <c r="DT391" s="88"/>
      <c r="DU391" s="88"/>
      <c r="DV391" s="88"/>
      <c r="DW391" s="88"/>
      <c r="DX391" s="88"/>
      <c r="DY391" s="88"/>
      <c r="DZ391" s="88"/>
      <c r="EA391" s="88"/>
      <c r="EB391" s="88"/>
      <c r="EC391" s="88"/>
      <c r="ED391" s="88"/>
      <c r="EE391" s="88"/>
      <c r="EF391" s="88"/>
      <c r="EG391" s="88"/>
      <c r="EH391" s="88"/>
      <c r="EI391" s="88"/>
      <c r="EJ391" s="88"/>
      <c r="EK391" s="88"/>
    </row>
    <row r="392" spans="1:141" s="132" customFormat="1" x14ac:dyDescent="0.25">
      <c r="A392" s="261">
        <v>2</v>
      </c>
      <c r="B392" s="266" t="s">
        <v>98</v>
      </c>
      <c r="C392" s="261"/>
      <c r="D392" s="267">
        <f>+SUM(D393:D395)</f>
        <v>2.8200000000000003</v>
      </c>
      <c r="E392" s="267">
        <f t="shared" si="179"/>
        <v>0.38989249606196485</v>
      </c>
      <c r="F392" s="267">
        <v>40</v>
      </c>
      <c r="G392" s="267">
        <f t="shared" ref="G392:G399" si="188">+D392*F392/100</f>
        <v>1.1280000000000001</v>
      </c>
      <c r="H392" s="267">
        <f t="shared" ref="H392:H405" si="189">+G392*J392</f>
        <v>5.6400000000000006</v>
      </c>
      <c r="I392" s="267">
        <f t="shared" ref="I392:I399" si="190">+H392/D392</f>
        <v>2</v>
      </c>
      <c r="J392" s="267">
        <v>5</v>
      </c>
      <c r="K392" s="291"/>
      <c r="L392" s="158"/>
      <c r="M392" s="158"/>
      <c r="N392" s="159"/>
      <c r="O392" s="158"/>
      <c r="P392" s="158"/>
      <c r="Q392" s="158"/>
      <c r="R392" s="158"/>
      <c r="S392" s="94"/>
      <c r="T392" s="94"/>
      <c r="U392" s="94"/>
      <c r="V392" s="94"/>
      <c r="W392" s="94"/>
      <c r="X392" s="94"/>
      <c r="Y392" s="94"/>
      <c r="Z392" s="94"/>
      <c r="AA392" s="94"/>
      <c r="AB392" s="94"/>
      <c r="AC392" s="94"/>
      <c r="AD392" s="94"/>
      <c r="AE392" s="94"/>
      <c r="AF392" s="94"/>
      <c r="AG392" s="94"/>
      <c r="AH392" s="94"/>
      <c r="AI392" s="94"/>
      <c r="AJ392" s="94"/>
      <c r="AK392" s="160"/>
      <c r="AL392" s="160"/>
      <c r="AM392" s="160"/>
      <c r="AN392" s="88"/>
      <c r="AO392" s="88"/>
      <c r="AP392" s="88"/>
      <c r="AQ392" s="88"/>
      <c r="AR392" s="88"/>
      <c r="AS392" s="88"/>
      <c r="AT392" s="88"/>
      <c r="AU392" s="88"/>
      <c r="AV392" s="88"/>
      <c r="AW392" s="88"/>
      <c r="AX392" s="88"/>
      <c r="AY392" s="88"/>
      <c r="AZ392" s="88"/>
      <c r="BA392" s="88"/>
      <c r="BB392" s="88"/>
      <c r="BC392" s="88"/>
      <c r="BD392" s="88"/>
      <c r="BE392" s="88"/>
      <c r="BF392" s="88"/>
      <c r="BG392" s="88"/>
      <c r="BH392" s="88"/>
      <c r="BI392" s="88"/>
      <c r="BJ392" s="88"/>
      <c r="BK392" s="88"/>
      <c r="BL392" s="88"/>
      <c r="BM392" s="88"/>
      <c r="BN392" s="88"/>
      <c r="BO392" s="88"/>
      <c r="BP392" s="88"/>
      <c r="BQ392" s="88"/>
      <c r="BR392" s="88"/>
      <c r="BS392" s="88"/>
      <c r="BT392" s="88"/>
      <c r="BU392" s="88"/>
      <c r="BV392" s="88"/>
      <c r="BW392" s="88"/>
      <c r="BX392" s="88"/>
      <c r="BY392" s="88"/>
      <c r="BZ392" s="88"/>
      <c r="CA392" s="88"/>
      <c r="CB392" s="88"/>
      <c r="CC392" s="88"/>
      <c r="CD392" s="88"/>
      <c r="CE392" s="88"/>
      <c r="CF392" s="88"/>
      <c r="CG392" s="88"/>
      <c r="CH392" s="88"/>
      <c r="CI392" s="88"/>
      <c r="CJ392" s="88"/>
      <c r="CK392" s="88"/>
      <c r="CL392" s="88"/>
      <c r="CM392" s="88"/>
      <c r="CN392" s="88"/>
      <c r="CO392" s="88"/>
      <c r="CP392" s="88"/>
      <c r="CQ392" s="88"/>
      <c r="CR392" s="88"/>
      <c r="CS392" s="88"/>
      <c r="CT392" s="88"/>
      <c r="CU392" s="88"/>
      <c r="CV392" s="88"/>
      <c r="CW392" s="88"/>
      <c r="CX392" s="88"/>
      <c r="CY392" s="88"/>
      <c r="CZ392" s="88"/>
      <c r="DA392" s="88"/>
      <c r="DB392" s="88"/>
      <c r="DC392" s="88"/>
      <c r="DD392" s="88"/>
      <c r="DE392" s="88"/>
      <c r="DF392" s="88"/>
      <c r="DG392" s="88"/>
      <c r="DH392" s="88"/>
      <c r="DI392" s="88"/>
      <c r="DJ392" s="88"/>
      <c r="DK392" s="88"/>
      <c r="DL392" s="88"/>
      <c r="DM392" s="88"/>
      <c r="DN392" s="88"/>
      <c r="DO392" s="88"/>
      <c r="DP392" s="88"/>
      <c r="DQ392" s="88"/>
      <c r="DR392" s="88"/>
      <c r="DS392" s="88"/>
      <c r="DT392" s="88"/>
      <c r="DU392" s="88"/>
      <c r="DV392" s="88"/>
      <c r="DW392" s="88"/>
      <c r="DX392" s="88"/>
      <c r="DY392" s="88"/>
      <c r="DZ392" s="88"/>
      <c r="EA392" s="88"/>
      <c r="EB392" s="88"/>
      <c r="EC392" s="88"/>
      <c r="ED392" s="88"/>
      <c r="EE392" s="88"/>
      <c r="EF392" s="88"/>
      <c r="EG392" s="88"/>
      <c r="EH392" s="88"/>
      <c r="EI392" s="88"/>
      <c r="EJ392" s="88"/>
      <c r="EK392" s="88"/>
    </row>
    <row r="393" spans="1:141" s="132" customFormat="1" hidden="1" x14ac:dyDescent="0.25">
      <c r="A393" s="274"/>
      <c r="B393" s="278"/>
      <c r="C393" s="274" t="s">
        <v>797</v>
      </c>
      <c r="D393" s="276">
        <v>0.19</v>
      </c>
      <c r="E393" s="276">
        <f t="shared" ref="E393:E395" si="191">+D393/$D$3*100</f>
        <v>2.6269352571550823E-2</v>
      </c>
      <c r="F393" s="276">
        <v>40</v>
      </c>
      <c r="G393" s="276">
        <f t="shared" ref="G393:G395" si="192">+D393*F393/100</f>
        <v>7.5999999999999998E-2</v>
      </c>
      <c r="H393" s="276">
        <f t="shared" ref="H393:H395" si="193">+G393*J393</f>
        <v>0.38</v>
      </c>
      <c r="I393" s="276">
        <f t="shared" ref="I393:I395" si="194">+H393/D393</f>
        <v>2</v>
      </c>
      <c r="J393" s="276">
        <v>5</v>
      </c>
      <c r="K393" s="296"/>
      <c r="L393" s="158"/>
      <c r="M393" s="158"/>
      <c r="N393" s="159"/>
      <c r="O393" s="158"/>
      <c r="P393" s="158"/>
      <c r="Q393" s="158"/>
      <c r="R393" s="158"/>
      <c r="S393" s="94"/>
      <c r="T393" s="94"/>
      <c r="U393" s="94"/>
      <c r="V393" s="94"/>
      <c r="W393" s="94"/>
      <c r="X393" s="94"/>
      <c r="Y393" s="94"/>
      <c r="Z393" s="94"/>
      <c r="AA393" s="94"/>
      <c r="AB393" s="94"/>
      <c r="AC393" s="94"/>
      <c r="AD393" s="94"/>
      <c r="AE393" s="94"/>
      <c r="AF393" s="94"/>
      <c r="AG393" s="94"/>
      <c r="AH393" s="94"/>
      <c r="AI393" s="94"/>
      <c r="AJ393" s="94"/>
      <c r="AK393" s="160"/>
      <c r="AL393" s="160"/>
      <c r="AM393" s="160"/>
      <c r="AN393" s="88"/>
      <c r="AO393" s="88"/>
      <c r="AP393" s="88"/>
      <c r="AQ393" s="88"/>
      <c r="AR393" s="88"/>
      <c r="AS393" s="88"/>
      <c r="AT393" s="88"/>
      <c r="AU393" s="88"/>
      <c r="AV393" s="88"/>
      <c r="AW393" s="88"/>
      <c r="AX393" s="88"/>
      <c r="AY393" s="88"/>
      <c r="AZ393" s="88"/>
      <c r="BA393" s="88"/>
      <c r="BB393" s="88"/>
      <c r="BC393" s="88"/>
      <c r="BD393" s="88"/>
      <c r="BE393" s="88"/>
      <c r="BF393" s="88"/>
      <c r="BG393" s="88"/>
      <c r="BH393" s="88"/>
      <c r="BI393" s="88"/>
      <c r="BJ393" s="88"/>
      <c r="BK393" s="88"/>
      <c r="BL393" s="88"/>
      <c r="BM393" s="88"/>
      <c r="BN393" s="88"/>
      <c r="BO393" s="88"/>
      <c r="BP393" s="88"/>
      <c r="BQ393" s="88"/>
      <c r="BR393" s="88"/>
      <c r="BS393" s="88"/>
      <c r="BT393" s="88"/>
      <c r="BU393" s="88"/>
      <c r="BV393" s="88"/>
      <c r="BW393" s="88"/>
      <c r="BX393" s="88"/>
      <c r="BY393" s="88"/>
      <c r="BZ393" s="88"/>
      <c r="CA393" s="88"/>
      <c r="CB393" s="88"/>
      <c r="CC393" s="88"/>
      <c r="CD393" s="88"/>
      <c r="CE393" s="88"/>
      <c r="CF393" s="88"/>
      <c r="CG393" s="88"/>
      <c r="CH393" s="88"/>
      <c r="CI393" s="88"/>
      <c r="CJ393" s="88"/>
      <c r="CK393" s="88"/>
      <c r="CL393" s="88"/>
      <c r="CM393" s="88"/>
      <c r="CN393" s="88"/>
      <c r="CO393" s="88"/>
      <c r="CP393" s="88"/>
      <c r="CQ393" s="88"/>
      <c r="CR393" s="88"/>
      <c r="CS393" s="88"/>
      <c r="CT393" s="88"/>
      <c r="CU393" s="88"/>
      <c r="CV393" s="88"/>
      <c r="CW393" s="88"/>
      <c r="CX393" s="88"/>
      <c r="CY393" s="88"/>
      <c r="CZ393" s="88"/>
      <c r="DA393" s="88"/>
      <c r="DB393" s="88"/>
      <c r="DC393" s="88"/>
      <c r="DD393" s="88"/>
      <c r="DE393" s="88"/>
      <c r="DF393" s="88"/>
      <c r="DG393" s="88"/>
      <c r="DH393" s="88"/>
      <c r="DI393" s="88"/>
      <c r="DJ393" s="88"/>
      <c r="DK393" s="88"/>
      <c r="DL393" s="88"/>
      <c r="DM393" s="88"/>
      <c r="DN393" s="88"/>
      <c r="DO393" s="88"/>
      <c r="DP393" s="88"/>
      <c r="DQ393" s="88"/>
      <c r="DR393" s="88"/>
      <c r="DS393" s="88"/>
      <c r="DT393" s="88"/>
      <c r="DU393" s="88"/>
      <c r="DV393" s="88"/>
      <c r="DW393" s="88"/>
      <c r="DX393" s="88"/>
      <c r="DY393" s="88"/>
      <c r="DZ393" s="88"/>
      <c r="EA393" s="88"/>
      <c r="EB393" s="88"/>
      <c r="EC393" s="88"/>
      <c r="ED393" s="88"/>
      <c r="EE393" s="88"/>
      <c r="EF393" s="88"/>
      <c r="EG393" s="88"/>
      <c r="EH393" s="88"/>
      <c r="EI393" s="88"/>
      <c r="EJ393" s="88"/>
      <c r="EK393" s="88"/>
    </row>
    <row r="394" spans="1:141" s="132" customFormat="1" hidden="1" x14ac:dyDescent="0.25">
      <c r="A394" s="274"/>
      <c r="B394" s="278"/>
      <c r="C394" s="274" t="s">
        <v>798</v>
      </c>
      <c r="D394" s="276">
        <v>0.76</v>
      </c>
      <c r="E394" s="276">
        <f t="shared" si="191"/>
        <v>0.10507741028620329</v>
      </c>
      <c r="F394" s="276">
        <v>10</v>
      </c>
      <c r="G394" s="276">
        <f t="shared" si="192"/>
        <v>7.5999999999999998E-2</v>
      </c>
      <c r="H394" s="276">
        <f t="shared" si="193"/>
        <v>0.38</v>
      </c>
      <c r="I394" s="276">
        <f t="shared" si="194"/>
        <v>0.5</v>
      </c>
      <c r="J394" s="276">
        <v>5</v>
      </c>
      <c r="K394" s="296"/>
      <c r="L394" s="158"/>
      <c r="M394" s="158"/>
      <c r="N394" s="159"/>
      <c r="O394" s="158"/>
      <c r="P394" s="158"/>
      <c r="Q394" s="158"/>
      <c r="R394" s="158"/>
      <c r="S394" s="94"/>
      <c r="T394" s="94"/>
      <c r="U394" s="94"/>
      <c r="V394" s="94"/>
      <c r="W394" s="94"/>
      <c r="X394" s="94"/>
      <c r="Y394" s="94"/>
      <c r="Z394" s="94"/>
      <c r="AA394" s="94"/>
      <c r="AB394" s="94"/>
      <c r="AC394" s="94"/>
      <c r="AD394" s="94"/>
      <c r="AE394" s="94"/>
      <c r="AF394" s="94"/>
      <c r="AG394" s="94"/>
      <c r="AH394" s="94"/>
      <c r="AI394" s="94"/>
      <c r="AJ394" s="94"/>
      <c r="AK394" s="160"/>
      <c r="AL394" s="160"/>
      <c r="AM394" s="160"/>
      <c r="AN394" s="88"/>
      <c r="AO394" s="88"/>
      <c r="AP394" s="88"/>
      <c r="AQ394" s="88"/>
      <c r="AR394" s="88"/>
      <c r="AS394" s="88"/>
      <c r="AT394" s="88"/>
      <c r="AU394" s="88"/>
      <c r="AV394" s="88"/>
      <c r="AW394" s="88"/>
      <c r="AX394" s="88"/>
      <c r="AY394" s="88"/>
      <c r="AZ394" s="88"/>
      <c r="BA394" s="88"/>
      <c r="BB394" s="88"/>
      <c r="BC394" s="88"/>
      <c r="BD394" s="88"/>
      <c r="BE394" s="88"/>
      <c r="BF394" s="88"/>
      <c r="BG394" s="88"/>
      <c r="BH394" s="88"/>
      <c r="BI394" s="88"/>
      <c r="BJ394" s="88"/>
      <c r="BK394" s="88"/>
      <c r="BL394" s="88"/>
      <c r="BM394" s="88"/>
      <c r="BN394" s="88"/>
      <c r="BO394" s="88"/>
      <c r="BP394" s="88"/>
      <c r="BQ394" s="88"/>
      <c r="BR394" s="88"/>
      <c r="BS394" s="88"/>
      <c r="BT394" s="88"/>
      <c r="BU394" s="88"/>
      <c r="BV394" s="88"/>
      <c r="BW394" s="88"/>
      <c r="BX394" s="88"/>
      <c r="BY394" s="88"/>
      <c r="BZ394" s="88"/>
      <c r="CA394" s="88"/>
      <c r="CB394" s="88"/>
      <c r="CC394" s="88"/>
      <c r="CD394" s="88"/>
      <c r="CE394" s="88"/>
      <c r="CF394" s="88"/>
      <c r="CG394" s="88"/>
      <c r="CH394" s="88"/>
      <c r="CI394" s="88"/>
      <c r="CJ394" s="88"/>
      <c r="CK394" s="88"/>
      <c r="CL394" s="88"/>
      <c r="CM394" s="88"/>
      <c r="CN394" s="88"/>
      <c r="CO394" s="88"/>
      <c r="CP394" s="88"/>
      <c r="CQ394" s="88"/>
      <c r="CR394" s="88"/>
      <c r="CS394" s="88"/>
      <c r="CT394" s="88"/>
      <c r="CU394" s="88"/>
      <c r="CV394" s="88"/>
      <c r="CW394" s="88"/>
      <c r="CX394" s="88"/>
      <c r="CY394" s="88"/>
      <c r="CZ394" s="88"/>
      <c r="DA394" s="88"/>
      <c r="DB394" s="88"/>
      <c r="DC394" s="88"/>
      <c r="DD394" s="88"/>
      <c r="DE394" s="88"/>
      <c r="DF394" s="88"/>
      <c r="DG394" s="88"/>
      <c r="DH394" s="88"/>
      <c r="DI394" s="88"/>
      <c r="DJ394" s="88"/>
      <c r="DK394" s="88"/>
      <c r="DL394" s="88"/>
      <c r="DM394" s="88"/>
      <c r="DN394" s="88"/>
      <c r="DO394" s="88"/>
      <c r="DP394" s="88"/>
      <c r="DQ394" s="88"/>
      <c r="DR394" s="88"/>
      <c r="DS394" s="88"/>
      <c r="DT394" s="88"/>
      <c r="DU394" s="88"/>
      <c r="DV394" s="88"/>
      <c r="DW394" s="88"/>
      <c r="DX394" s="88"/>
      <c r="DY394" s="88"/>
      <c r="DZ394" s="88"/>
      <c r="EA394" s="88"/>
      <c r="EB394" s="88"/>
      <c r="EC394" s="88"/>
      <c r="ED394" s="88"/>
      <c r="EE394" s="88"/>
      <c r="EF394" s="88"/>
      <c r="EG394" s="88"/>
      <c r="EH394" s="88"/>
      <c r="EI394" s="88"/>
      <c r="EJ394" s="88"/>
      <c r="EK394" s="88"/>
    </row>
    <row r="395" spans="1:141" s="132" customFormat="1" hidden="1" x14ac:dyDescent="0.25">
      <c r="A395" s="274"/>
      <c r="B395" s="278"/>
      <c r="C395" s="274" t="s">
        <v>799</v>
      </c>
      <c r="D395" s="276">
        <v>1.87</v>
      </c>
      <c r="E395" s="276">
        <f t="shared" si="191"/>
        <v>0.2585457332042107</v>
      </c>
      <c r="F395" s="276">
        <v>40</v>
      </c>
      <c r="G395" s="276">
        <f t="shared" si="192"/>
        <v>0.74800000000000011</v>
      </c>
      <c r="H395" s="276">
        <f t="shared" si="193"/>
        <v>3.7400000000000007</v>
      </c>
      <c r="I395" s="276">
        <f t="shared" si="194"/>
        <v>2.0000000000000004</v>
      </c>
      <c r="J395" s="276">
        <v>5</v>
      </c>
      <c r="K395" s="296"/>
      <c r="L395" s="158"/>
      <c r="M395" s="158"/>
      <c r="N395" s="159"/>
      <c r="O395" s="158"/>
      <c r="P395" s="158"/>
      <c r="Q395" s="158"/>
      <c r="R395" s="158"/>
      <c r="S395" s="94"/>
      <c r="T395" s="94"/>
      <c r="U395" s="94"/>
      <c r="V395" s="94"/>
      <c r="W395" s="94"/>
      <c r="X395" s="94"/>
      <c r="Y395" s="94"/>
      <c r="Z395" s="94"/>
      <c r="AA395" s="94"/>
      <c r="AB395" s="94"/>
      <c r="AC395" s="94"/>
      <c r="AD395" s="94"/>
      <c r="AE395" s="94"/>
      <c r="AF395" s="94"/>
      <c r="AG395" s="94"/>
      <c r="AH395" s="94"/>
      <c r="AI395" s="94"/>
      <c r="AJ395" s="94"/>
      <c r="AK395" s="160"/>
      <c r="AL395" s="160"/>
      <c r="AM395" s="160"/>
      <c r="AN395" s="88"/>
      <c r="AO395" s="88"/>
      <c r="AP395" s="88"/>
      <c r="AQ395" s="88"/>
      <c r="AR395" s="88"/>
      <c r="AS395" s="88"/>
      <c r="AT395" s="88"/>
      <c r="AU395" s="88"/>
      <c r="AV395" s="88"/>
      <c r="AW395" s="88"/>
      <c r="AX395" s="88"/>
      <c r="AY395" s="88"/>
      <c r="AZ395" s="88"/>
      <c r="BA395" s="88"/>
      <c r="BB395" s="88"/>
      <c r="BC395" s="88"/>
      <c r="BD395" s="88"/>
      <c r="BE395" s="88"/>
      <c r="BF395" s="88"/>
      <c r="BG395" s="88"/>
      <c r="BH395" s="88"/>
      <c r="BI395" s="88"/>
      <c r="BJ395" s="88"/>
      <c r="BK395" s="88"/>
      <c r="BL395" s="88"/>
      <c r="BM395" s="88"/>
      <c r="BN395" s="88"/>
      <c r="BO395" s="88"/>
      <c r="BP395" s="88"/>
      <c r="BQ395" s="88"/>
      <c r="BR395" s="88"/>
      <c r="BS395" s="88"/>
      <c r="BT395" s="88"/>
      <c r="BU395" s="88"/>
      <c r="BV395" s="88"/>
      <c r="BW395" s="88"/>
      <c r="BX395" s="88"/>
      <c r="BY395" s="88"/>
      <c r="BZ395" s="88"/>
      <c r="CA395" s="88"/>
      <c r="CB395" s="88"/>
      <c r="CC395" s="88"/>
      <c r="CD395" s="88"/>
      <c r="CE395" s="88"/>
      <c r="CF395" s="88"/>
      <c r="CG395" s="88"/>
      <c r="CH395" s="88"/>
      <c r="CI395" s="88"/>
      <c r="CJ395" s="88"/>
      <c r="CK395" s="88"/>
      <c r="CL395" s="88"/>
      <c r="CM395" s="88"/>
      <c r="CN395" s="88"/>
      <c r="CO395" s="88"/>
      <c r="CP395" s="88"/>
      <c r="CQ395" s="88"/>
      <c r="CR395" s="88"/>
      <c r="CS395" s="88"/>
      <c r="CT395" s="88"/>
      <c r="CU395" s="88"/>
      <c r="CV395" s="88"/>
      <c r="CW395" s="88"/>
      <c r="CX395" s="88"/>
      <c r="CY395" s="88"/>
      <c r="CZ395" s="88"/>
      <c r="DA395" s="88"/>
      <c r="DB395" s="88"/>
      <c r="DC395" s="88"/>
      <c r="DD395" s="88"/>
      <c r="DE395" s="88"/>
      <c r="DF395" s="88"/>
      <c r="DG395" s="88"/>
      <c r="DH395" s="88"/>
      <c r="DI395" s="88"/>
      <c r="DJ395" s="88"/>
      <c r="DK395" s="88"/>
      <c r="DL395" s="88"/>
      <c r="DM395" s="88"/>
      <c r="DN395" s="88"/>
      <c r="DO395" s="88"/>
      <c r="DP395" s="88"/>
      <c r="DQ395" s="88"/>
      <c r="DR395" s="88"/>
      <c r="DS395" s="88"/>
      <c r="DT395" s="88"/>
      <c r="DU395" s="88"/>
      <c r="DV395" s="88"/>
      <c r="DW395" s="88"/>
      <c r="DX395" s="88"/>
      <c r="DY395" s="88"/>
      <c r="DZ395" s="88"/>
      <c r="EA395" s="88"/>
      <c r="EB395" s="88"/>
      <c r="EC395" s="88"/>
      <c r="ED395" s="88"/>
      <c r="EE395" s="88"/>
      <c r="EF395" s="88"/>
      <c r="EG395" s="88"/>
      <c r="EH395" s="88"/>
      <c r="EI395" s="88"/>
      <c r="EJ395" s="88"/>
      <c r="EK395" s="88"/>
    </row>
    <row r="396" spans="1:141" s="132" customFormat="1" x14ac:dyDescent="0.25">
      <c r="A396" s="261">
        <v>3</v>
      </c>
      <c r="B396" s="266" t="s">
        <v>99</v>
      </c>
      <c r="C396" s="261"/>
      <c r="D396" s="267">
        <f>+SUM(D397:D407)</f>
        <v>9.9711999999999996</v>
      </c>
      <c r="E396" s="267">
        <f t="shared" si="179"/>
        <v>1.3786156229549869</v>
      </c>
      <c r="F396" s="267">
        <f>+G396/D396*100</f>
        <v>47.495988446726578</v>
      </c>
      <c r="G396" s="267">
        <f>SUM(G397:G407)</f>
        <v>4.7359200000000001</v>
      </c>
      <c r="H396" s="267"/>
      <c r="I396" s="267"/>
      <c r="J396" s="267" t="s">
        <v>860</v>
      </c>
      <c r="K396" s="291"/>
      <c r="L396" s="158"/>
      <c r="M396" s="158"/>
      <c r="N396" s="159"/>
      <c r="O396" s="158"/>
      <c r="P396" s="158"/>
      <c r="Q396" s="158"/>
      <c r="R396" s="158"/>
      <c r="S396" s="94"/>
      <c r="T396" s="94"/>
      <c r="U396" s="94"/>
      <c r="V396" s="94"/>
      <c r="W396" s="94"/>
      <c r="X396" s="94"/>
      <c r="Y396" s="94"/>
      <c r="Z396" s="94"/>
      <c r="AA396" s="94"/>
      <c r="AB396" s="94"/>
      <c r="AC396" s="94"/>
      <c r="AD396" s="94"/>
      <c r="AE396" s="94"/>
      <c r="AF396" s="94"/>
      <c r="AG396" s="94"/>
      <c r="AH396" s="94"/>
      <c r="AI396" s="94"/>
      <c r="AJ396" s="94"/>
      <c r="AK396" s="160"/>
      <c r="AL396" s="160"/>
      <c r="AM396" s="160"/>
      <c r="AN396" s="88"/>
      <c r="AO396" s="88"/>
      <c r="AP396" s="88"/>
      <c r="AQ396" s="88"/>
      <c r="AR396" s="88"/>
      <c r="AS396" s="88"/>
      <c r="AT396" s="88"/>
      <c r="AU396" s="88"/>
      <c r="AV396" s="88"/>
      <c r="AW396" s="88"/>
      <c r="AX396" s="88"/>
      <c r="AY396" s="88"/>
      <c r="AZ396" s="88"/>
      <c r="BA396" s="88"/>
      <c r="BB396" s="88"/>
      <c r="BC396" s="88"/>
      <c r="BD396" s="88"/>
      <c r="BE396" s="88"/>
      <c r="BF396" s="88"/>
      <c r="BG396" s="88"/>
      <c r="BH396" s="88"/>
      <c r="BI396" s="88"/>
      <c r="BJ396" s="88"/>
      <c r="BK396" s="88"/>
      <c r="BL396" s="88"/>
      <c r="BM396" s="88"/>
      <c r="BN396" s="88"/>
      <c r="BO396" s="88"/>
      <c r="BP396" s="88"/>
      <c r="BQ396" s="88"/>
      <c r="BR396" s="88"/>
      <c r="BS396" s="88"/>
      <c r="BT396" s="88"/>
      <c r="BU396" s="88"/>
      <c r="BV396" s="88"/>
      <c r="BW396" s="88"/>
      <c r="BX396" s="88"/>
      <c r="BY396" s="88"/>
      <c r="BZ396" s="88"/>
      <c r="CA396" s="88"/>
      <c r="CB396" s="88"/>
      <c r="CC396" s="88"/>
      <c r="CD396" s="88"/>
      <c r="CE396" s="88"/>
      <c r="CF396" s="88"/>
      <c r="CG396" s="88"/>
      <c r="CH396" s="88"/>
      <c r="CI396" s="88"/>
      <c r="CJ396" s="88"/>
      <c r="CK396" s="88"/>
      <c r="CL396" s="88"/>
      <c r="CM396" s="88"/>
      <c r="CN396" s="88"/>
      <c r="CO396" s="88"/>
      <c r="CP396" s="88"/>
      <c r="CQ396" s="88"/>
      <c r="CR396" s="88"/>
      <c r="CS396" s="88"/>
      <c r="CT396" s="88"/>
      <c r="CU396" s="88"/>
      <c r="CV396" s="88"/>
      <c r="CW396" s="88"/>
      <c r="CX396" s="88"/>
      <c r="CY396" s="88"/>
      <c r="CZ396" s="88"/>
      <c r="DA396" s="88"/>
      <c r="DB396" s="88"/>
      <c r="DC396" s="88"/>
      <c r="DD396" s="88"/>
      <c r="DE396" s="88"/>
      <c r="DF396" s="88"/>
      <c r="DG396" s="88"/>
      <c r="DH396" s="88"/>
      <c r="DI396" s="88"/>
      <c r="DJ396" s="88"/>
      <c r="DK396" s="88"/>
      <c r="DL396" s="88"/>
      <c r="DM396" s="88"/>
      <c r="DN396" s="88"/>
      <c r="DO396" s="88"/>
      <c r="DP396" s="88"/>
      <c r="DQ396" s="88"/>
      <c r="DR396" s="88"/>
      <c r="DS396" s="88"/>
      <c r="DT396" s="88"/>
      <c r="DU396" s="88"/>
      <c r="DV396" s="88"/>
      <c r="DW396" s="88"/>
      <c r="DX396" s="88"/>
      <c r="DY396" s="88"/>
      <c r="DZ396" s="88"/>
      <c r="EA396" s="88"/>
      <c r="EB396" s="88"/>
      <c r="EC396" s="88"/>
      <c r="ED396" s="88"/>
      <c r="EE396" s="88"/>
      <c r="EF396" s="88"/>
      <c r="EG396" s="88"/>
      <c r="EH396" s="88"/>
      <c r="EI396" s="88"/>
      <c r="EJ396" s="88"/>
      <c r="EK396" s="88"/>
    </row>
    <row r="397" spans="1:141" s="132" customFormat="1" hidden="1" x14ac:dyDescent="0.25">
      <c r="A397" s="274"/>
      <c r="B397" s="278"/>
      <c r="C397" s="274" t="s">
        <v>800</v>
      </c>
      <c r="D397" s="276">
        <v>0.73219999999999996</v>
      </c>
      <c r="E397" s="276">
        <f t="shared" ref="E397:E408" si="195">+D397/$D$3*100</f>
        <v>0.10123378922573426</v>
      </c>
      <c r="F397" s="276">
        <v>40</v>
      </c>
      <c r="G397" s="276">
        <f t="shared" ref="G397" si="196">+D397*F397/100</f>
        <v>0.29287999999999997</v>
      </c>
      <c r="H397" s="276">
        <f t="shared" ref="H397" si="197">+G397*J397</f>
        <v>4.3931999999999993</v>
      </c>
      <c r="I397" s="276">
        <f t="shared" ref="I397" si="198">+H397/D397</f>
        <v>5.9999999999999991</v>
      </c>
      <c r="J397" s="276">
        <v>15</v>
      </c>
      <c r="K397" s="296"/>
      <c r="L397" s="158"/>
      <c r="M397" s="158"/>
      <c r="N397" s="159"/>
      <c r="O397" s="158"/>
      <c r="P397" s="158"/>
      <c r="Q397" s="158"/>
      <c r="R397" s="158"/>
      <c r="S397" s="94"/>
      <c r="T397" s="94"/>
      <c r="U397" s="94"/>
      <c r="V397" s="94"/>
      <c r="W397" s="94"/>
      <c r="X397" s="94"/>
      <c r="Y397" s="94"/>
      <c r="Z397" s="94"/>
      <c r="AA397" s="94"/>
      <c r="AB397" s="94"/>
      <c r="AC397" s="94"/>
      <c r="AD397" s="94"/>
      <c r="AE397" s="94"/>
      <c r="AF397" s="94"/>
      <c r="AG397" s="94"/>
      <c r="AH397" s="94"/>
      <c r="AI397" s="94"/>
      <c r="AJ397" s="94"/>
      <c r="AK397" s="160"/>
      <c r="AL397" s="160"/>
      <c r="AM397" s="160"/>
      <c r="AN397" s="88"/>
      <c r="AO397" s="88"/>
      <c r="AP397" s="88"/>
      <c r="AQ397" s="88"/>
      <c r="AR397" s="88"/>
      <c r="AS397" s="88"/>
      <c r="AT397" s="88"/>
      <c r="AU397" s="88"/>
      <c r="AV397" s="88"/>
      <c r="AW397" s="88"/>
      <c r="AX397" s="88"/>
      <c r="AY397" s="88"/>
      <c r="AZ397" s="88"/>
      <c r="BA397" s="88"/>
      <c r="BB397" s="88"/>
      <c r="BC397" s="88"/>
      <c r="BD397" s="88"/>
      <c r="BE397" s="88"/>
      <c r="BF397" s="88"/>
      <c r="BG397" s="88"/>
      <c r="BH397" s="88"/>
      <c r="BI397" s="88"/>
      <c r="BJ397" s="88"/>
      <c r="BK397" s="88"/>
      <c r="BL397" s="88"/>
      <c r="BM397" s="88"/>
      <c r="BN397" s="88"/>
      <c r="BO397" s="88"/>
      <c r="BP397" s="88"/>
      <c r="BQ397" s="88"/>
      <c r="BR397" s="88"/>
      <c r="BS397" s="88"/>
      <c r="BT397" s="88"/>
      <c r="BU397" s="88"/>
      <c r="BV397" s="88"/>
      <c r="BW397" s="88"/>
      <c r="BX397" s="88"/>
      <c r="BY397" s="88"/>
      <c r="BZ397" s="88"/>
      <c r="CA397" s="88"/>
      <c r="CB397" s="88"/>
      <c r="CC397" s="88"/>
      <c r="CD397" s="88"/>
      <c r="CE397" s="88"/>
      <c r="CF397" s="88"/>
      <c r="CG397" s="88"/>
      <c r="CH397" s="88"/>
      <c r="CI397" s="88"/>
      <c r="CJ397" s="88"/>
      <c r="CK397" s="88"/>
      <c r="CL397" s="88"/>
      <c r="CM397" s="88"/>
      <c r="CN397" s="88"/>
      <c r="CO397" s="88"/>
      <c r="CP397" s="88"/>
      <c r="CQ397" s="88"/>
      <c r="CR397" s="88"/>
      <c r="CS397" s="88"/>
      <c r="CT397" s="88"/>
      <c r="CU397" s="88"/>
      <c r="CV397" s="88"/>
      <c r="CW397" s="88"/>
      <c r="CX397" s="88"/>
      <c r="CY397" s="88"/>
      <c r="CZ397" s="88"/>
      <c r="DA397" s="88"/>
      <c r="DB397" s="88"/>
      <c r="DC397" s="88"/>
      <c r="DD397" s="88"/>
      <c r="DE397" s="88"/>
      <c r="DF397" s="88"/>
      <c r="DG397" s="88"/>
      <c r="DH397" s="88"/>
      <c r="DI397" s="88"/>
      <c r="DJ397" s="88"/>
      <c r="DK397" s="88"/>
      <c r="DL397" s="88"/>
      <c r="DM397" s="88"/>
      <c r="DN397" s="88"/>
      <c r="DO397" s="88"/>
      <c r="DP397" s="88"/>
      <c r="DQ397" s="88"/>
      <c r="DR397" s="88"/>
      <c r="DS397" s="88"/>
      <c r="DT397" s="88"/>
      <c r="DU397" s="88"/>
      <c r="DV397" s="88"/>
      <c r="DW397" s="88"/>
      <c r="DX397" s="88"/>
      <c r="DY397" s="88"/>
      <c r="DZ397" s="88"/>
      <c r="EA397" s="88"/>
      <c r="EB397" s="88"/>
      <c r="EC397" s="88"/>
      <c r="ED397" s="88"/>
      <c r="EE397" s="88"/>
      <c r="EF397" s="88"/>
      <c r="EG397" s="88"/>
      <c r="EH397" s="88"/>
      <c r="EI397" s="88"/>
      <c r="EJ397" s="88"/>
      <c r="EK397" s="88"/>
    </row>
    <row r="398" spans="1:141" s="132" customFormat="1" hidden="1" x14ac:dyDescent="0.25">
      <c r="A398" s="274"/>
      <c r="B398" s="299"/>
      <c r="C398" s="274" t="s">
        <v>801</v>
      </c>
      <c r="D398" s="276">
        <v>0.4</v>
      </c>
      <c r="E398" s="276">
        <f t="shared" si="179"/>
        <v>5.5303900150633307E-2</v>
      </c>
      <c r="F398" s="276">
        <v>40</v>
      </c>
      <c r="G398" s="276">
        <f t="shared" si="188"/>
        <v>0.16</v>
      </c>
      <c r="H398" s="276">
        <f t="shared" si="189"/>
        <v>1.6</v>
      </c>
      <c r="I398" s="276">
        <f t="shared" si="190"/>
        <v>4</v>
      </c>
      <c r="J398" s="276">
        <v>10</v>
      </c>
      <c r="K398" s="296"/>
      <c r="L398" s="158"/>
      <c r="M398" s="158"/>
      <c r="N398" s="159"/>
      <c r="O398" s="158"/>
      <c r="P398" s="158"/>
      <c r="Q398" s="158"/>
      <c r="R398" s="158"/>
      <c r="S398" s="94"/>
      <c r="T398" s="94"/>
      <c r="U398" s="94"/>
      <c r="V398" s="94"/>
      <c r="W398" s="94"/>
      <c r="X398" s="94"/>
      <c r="Y398" s="94"/>
      <c r="Z398" s="94"/>
      <c r="AA398" s="94"/>
      <c r="AB398" s="94"/>
      <c r="AC398" s="94"/>
      <c r="AD398" s="94"/>
      <c r="AE398" s="94"/>
      <c r="AF398" s="94"/>
      <c r="AG398" s="94"/>
      <c r="AH398" s="94"/>
      <c r="AI398" s="94"/>
      <c r="AJ398" s="94"/>
      <c r="AK398" s="160"/>
      <c r="AL398" s="160"/>
      <c r="AM398" s="160"/>
      <c r="AN398" s="88"/>
      <c r="AO398" s="88"/>
      <c r="AP398" s="88"/>
      <c r="AQ398" s="88"/>
      <c r="AR398" s="88"/>
      <c r="AS398" s="88"/>
      <c r="AT398" s="88"/>
      <c r="AU398" s="88"/>
      <c r="AV398" s="88"/>
      <c r="AW398" s="88"/>
      <c r="AX398" s="88"/>
      <c r="AY398" s="88"/>
      <c r="AZ398" s="88"/>
      <c r="BA398" s="88"/>
      <c r="BB398" s="88"/>
      <c r="BC398" s="88"/>
      <c r="BD398" s="88"/>
      <c r="BE398" s="88"/>
      <c r="BF398" s="88"/>
      <c r="BG398" s="88"/>
      <c r="BH398" s="88"/>
      <c r="BI398" s="88"/>
      <c r="BJ398" s="88"/>
      <c r="BK398" s="88"/>
      <c r="BL398" s="88"/>
      <c r="BM398" s="88"/>
      <c r="BN398" s="88"/>
      <c r="BO398" s="88"/>
      <c r="BP398" s="88"/>
      <c r="BQ398" s="88"/>
      <c r="BR398" s="88"/>
      <c r="BS398" s="88"/>
      <c r="BT398" s="88"/>
      <c r="BU398" s="88"/>
      <c r="BV398" s="88"/>
      <c r="BW398" s="88"/>
      <c r="BX398" s="88"/>
      <c r="BY398" s="88"/>
      <c r="BZ398" s="88"/>
      <c r="CA398" s="88"/>
      <c r="CB398" s="88"/>
      <c r="CC398" s="88"/>
      <c r="CD398" s="88"/>
      <c r="CE398" s="88"/>
      <c r="CF398" s="88"/>
      <c r="CG398" s="88"/>
      <c r="CH398" s="88"/>
      <c r="CI398" s="88"/>
      <c r="CJ398" s="88"/>
      <c r="CK398" s="88"/>
      <c r="CL398" s="88"/>
      <c r="CM398" s="88"/>
      <c r="CN398" s="88"/>
      <c r="CO398" s="88"/>
      <c r="CP398" s="88"/>
      <c r="CQ398" s="88"/>
      <c r="CR398" s="88"/>
      <c r="CS398" s="88"/>
      <c r="CT398" s="88"/>
      <c r="CU398" s="88"/>
      <c r="CV398" s="88"/>
      <c r="CW398" s="88"/>
      <c r="CX398" s="88"/>
      <c r="CY398" s="88"/>
      <c r="CZ398" s="88"/>
      <c r="DA398" s="88"/>
      <c r="DB398" s="88"/>
      <c r="DC398" s="88"/>
      <c r="DD398" s="88"/>
      <c r="DE398" s="88"/>
      <c r="DF398" s="88"/>
      <c r="DG398" s="88"/>
      <c r="DH398" s="88"/>
      <c r="DI398" s="88"/>
      <c r="DJ398" s="88"/>
      <c r="DK398" s="88"/>
      <c r="DL398" s="88"/>
      <c r="DM398" s="88"/>
      <c r="DN398" s="88"/>
      <c r="DO398" s="88"/>
      <c r="DP398" s="88"/>
      <c r="DQ398" s="88"/>
      <c r="DR398" s="88"/>
      <c r="DS398" s="88"/>
      <c r="DT398" s="88"/>
      <c r="DU398" s="88"/>
      <c r="DV398" s="88"/>
      <c r="DW398" s="88"/>
      <c r="DX398" s="88"/>
      <c r="DY398" s="88"/>
      <c r="DZ398" s="88"/>
      <c r="EA398" s="88"/>
      <c r="EB398" s="88"/>
      <c r="EC398" s="88"/>
      <c r="ED398" s="88"/>
      <c r="EE398" s="88"/>
      <c r="EF398" s="88"/>
      <c r="EG398" s="88"/>
      <c r="EH398" s="88"/>
      <c r="EI398" s="88"/>
      <c r="EJ398" s="88"/>
      <c r="EK398" s="88"/>
    </row>
    <row r="399" spans="1:141" s="132" customFormat="1" hidden="1" x14ac:dyDescent="0.25">
      <c r="A399" s="274"/>
      <c r="B399" s="299"/>
      <c r="C399" s="274" t="s">
        <v>802</v>
      </c>
      <c r="D399" s="276">
        <v>0.22020000000000001</v>
      </c>
      <c r="E399" s="276">
        <f t="shared" si="195"/>
        <v>3.0444797032923635E-2</v>
      </c>
      <c r="F399" s="276">
        <v>60</v>
      </c>
      <c r="G399" s="276">
        <f t="shared" si="188"/>
        <v>0.13211999999999999</v>
      </c>
      <c r="H399" s="276">
        <f t="shared" si="189"/>
        <v>1.1890799999999999</v>
      </c>
      <c r="I399" s="276">
        <f t="shared" si="190"/>
        <v>5.3999999999999995</v>
      </c>
      <c r="J399" s="276">
        <v>9</v>
      </c>
      <c r="K399" s="296"/>
      <c r="L399" s="158"/>
      <c r="M399" s="158"/>
      <c r="N399" s="159"/>
      <c r="O399" s="158"/>
      <c r="P399" s="158"/>
      <c r="Q399" s="158"/>
      <c r="R399" s="158"/>
      <c r="S399" s="94"/>
      <c r="T399" s="94"/>
      <c r="U399" s="94"/>
      <c r="V399" s="94"/>
      <c r="W399" s="94"/>
      <c r="X399" s="94"/>
      <c r="Y399" s="94"/>
      <c r="Z399" s="94"/>
      <c r="AA399" s="94"/>
      <c r="AB399" s="94"/>
      <c r="AC399" s="94"/>
      <c r="AD399" s="94"/>
      <c r="AE399" s="94"/>
      <c r="AF399" s="94"/>
      <c r="AG399" s="94"/>
      <c r="AH399" s="94"/>
      <c r="AI399" s="94"/>
      <c r="AJ399" s="94"/>
      <c r="AK399" s="160"/>
      <c r="AL399" s="160"/>
      <c r="AM399" s="160"/>
      <c r="AN399" s="88"/>
      <c r="AO399" s="88"/>
      <c r="AP399" s="88"/>
      <c r="AQ399" s="88"/>
      <c r="AR399" s="88"/>
      <c r="AS399" s="88"/>
      <c r="AT399" s="88"/>
      <c r="AU399" s="88"/>
      <c r="AV399" s="88"/>
      <c r="AW399" s="88"/>
      <c r="AX399" s="88"/>
      <c r="AY399" s="88"/>
      <c r="AZ399" s="88"/>
      <c r="BA399" s="88"/>
      <c r="BB399" s="88"/>
      <c r="BC399" s="88"/>
      <c r="BD399" s="88"/>
      <c r="BE399" s="88"/>
      <c r="BF399" s="88"/>
      <c r="BG399" s="88"/>
      <c r="BH399" s="88"/>
      <c r="BI399" s="88"/>
      <c r="BJ399" s="88"/>
      <c r="BK399" s="88"/>
      <c r="BL399" s="88"/>
      <c r="BM399" s="88"/>
      <c r="BN399" s="88"/>
      <c r="BO399" s="88"/>
      <c r="BP399" s="88"/>
      <c r="BQ399" s="88"/>
      <c r="BR399" s="88"/>
      <c r="BS399" s="88"/>
      <c r="BT399" s="88"/>
      <c r="BU399" s="88"/>
      <c r="BV399" s="88"/>
      <c r="BW399" s="88"/>
      <c r="BX399" s="88"/>
      <c r="BY399" s="88"/>
      <c r="BZ399" s="88"/>
      <c r="CA399" s="88"/>
      <c r="CB399" s="88"/>
      <c r="CC399" s="88"/>
      <c r="CD399" s="88"/>
      <c r="CE399" s="88"/>
      <c r="CF399" s="88"/>
      <c r="CG399" s="88"/>
      <c r="CH399" s="88"/>
      <c r="CI399" s="88"/>
      <c r="CJ399" s="88"/>
      <c r="CK399" s="88"/>
      <c r="CL399" s="88"/>
      <c r="CM399" s="88"/>
      <c r="CN399" s="88"/>
      <c r="CO399" s="88"/>
      <c r="CP399" s="88"/>
      <c r="CQ399" s="88"/>
      <c r="CR399" s="88"/>
      <c r="CS399" s="88"/>
      <c r="CT399" s="88"/>
      <c r="CU399" s="88"/>
      <c r="CV399" s="88"/>
      <c r="CW399" s="88"/>
      <c r="CX399" s="88"/>
      <c r="CY399" s="88"/>
      <c r="CZ399" s="88"/>
      <c r="DA399" s="88"/>
      <c r="DB399" s="88"/>
      <c r="DC399" s="88"/>
      <c r="DD399" s="88"/>
      <c r="DE399" s="88"/>
      <c r="DF399" s="88"/>
      <c r="DG399" s="88"/>
      <c r="DH399" s="88"/>
      <c r="DI399" s="88"/>
      <c r="DJ399" s="88"/>
      <c r="DK399" s="88"/>
      <c r="DL399" s="88"/>
      <c r="DM399" s="88"/>
      <c r="DN399" s="88"/>
      <c r="DO399" s="88"/>
      <c r="DP399" s="88"/>
      <c r="DQ399" s="88"/>
      <c r="DR399" s="88"/>
      <c r="DS399" s="88"/>
      <c r="DT399" s="88"/>
      <c r="DU399" s="88"/>
      <c r="DV399" s="88"/>
      <c r="DW399" s="88"/>
      <c r="DX399" s="88"/>
      <c r="DY399" s="88"/>
      <c r="DZ399" s="88"/>
      <c r="EA399" s="88"/>
      <c r="EB399" s="88"/>
      <c r="EC399" s="88"/>
      <c r="ED399" s="88"/>
      <c r="EE399" s="88"/>
      <c r="EF399" s="88"/>
      <c r="EG399" s="88"/>
      <c r="EH399" s="88"/>
      <c r="EI399" s="88"/>
      <c r="EJ399" s="88"/>
      <c r="EK399" s="88"/>
    </row>
    <row r="400" spans="1:141" s="132" customFormat="1" hidden="1" x14ac:dyDescent="0.25">
      <c r="A400" s="274"/>
      <c r="B400" s="278"/>
      <c r="C400" s="274" t="s">
        <v>803</v>
      </c>
      <c r="D400" s="308">
        <v>0.14000000000000001</v>
      </c>
      <c r="E400" s="276">
        <f t="shared" si="179"/>
        <v>1.9356365052721661E-2</v>
      </c>
      <c r="F400" s="276">
        <v>60</v>
      </c>
      <c r="G400" s="276">
        <f t="shared" ref="G400:G406" si="199">+D401*F400/100</f>
        <v>0.6522</v>
      </c>
      <c r="H400" s="276">
        <f t="shared" si="189"/>
        <v>4.5654000000000003</v>
      </c>
      <c r="I400" s="276">
        <f t="shared" ref="I400:I406" si="200">+H400/D401</f>
        <v>4.2</v>
      </c>
      <c r="J400" s="276">
        <v>7</v>
      </c>
      <c r="K400" s="296"/>
      <c r="L400" s="158"/>
      <c r="M400" s="158"/>
      <c r="N400" s="159"/>
      <c r="O400" s="158"/>
      <c r="P400" s="158"/>
      <c r="Q400" s="158"/>
      <c r="R400" s="158"/>
      <c r="S400" s="94"/>
      <c r="T400" s="94"/>
      <c r="U400" s="94"/>
      <c r="V400" s="94"/>
      <c r="W400" s="94"/>
      <c r="X400" s="94"/>
      <c r="Y400" s="94"/>
      <c r="Z400" s="94"/>
      <c r="AA400" s="94"/>
      <c r="AB400" s="94"/>
      <c r="AC400" s="94"/>
      <c r="AD400" s="94"/>
      <c r="AE400" s="94"/>
      <c r="AF400" s="94"/>
      <c r="AG400" s="94"/>
      <c r="AH400" s="94"/>
      <c r="AI400" s="94"/>
      <c r="AJ400" s="94"/>
      <c r="AK400" s="160"/>
      <c r="AL400" s="160"/>
      <c r="AM400" s="160"/>
      <c r="AN400" s="88"/>
      <c r="AO400" s="88"/>
      <c r="AP400" s="88"/>
      <c r="AQ400" s="88"/>
      <c r="AR400" s="88"/>
      <c r="AS400" s="88"/>
      <c r="AT400" s="88"/>
      <c r="AU400" s="88"/>
      <c r="AV400" s="88"/>
      <c r="AW400" s="88"/>
      <c r="AX400" s="88"/>
      <c r="AY400" s="88"/>
      <c r="AZ400" s="88"/>
      <c r="BA400" s="88"/>
      <c r="BB400" s="88"/>
      <c r="BC400" s="88"/>
      <c r="BD400" s="88"/>
      <c r="BE400" s="88"/>
      <c r="BF400" s="88"/>
      <c r="BG400" s="88"/>
      <c r="BH400" s="88"/>
      <c r="BI400" s="88"/>
      <c r="BJ400" s="88"/>
      <c r="BK400" s="88"/>
      <c r="BL400" s="88"/>
      <c r="BM400" s="88"/>
      <c r="BN400" s="88"/>
      <c r="BO400" s="88"/>
      <c r="BP400" s="88"/>
      <c r="BQ400" s="88"/>
      <c r="BR400" s="88"/>
      <c r="BS400" s="88"/>
      <c r="BT400" s="88"/>
      <c r="BU400" s="88"/>
      <c r="BV400" s="88"/>
      <c r="BW400" s="88"/>
      <c r="BX400" s="88"/>
      <c r="BY400" s="88"/>
      <c r="BZ400" s="88"/>
      <c r="CA400" s="88"/>
      <c r="CB400" s="88"/>
      <c r="CC400" s="88"/>
      <c r="CD400" s="88"/>
      <c r="CE400" s="88"/>
      <c r="CF400" s="88"/>
      <c r="CG400" s="88"/>
      <c r="CH400" s="88"/>
      <c r="CI400" s="88"/>
      <c r="CJ400" s="88"/>
      <c r="CK400" s="88"/>
      <c r="CL400" s="88"/>
      <c r="CM400" s="88"/>
      <c r="CN400" s="88"/>
      <c r="CO400" s="88"/>
      <c r="CP400" s="88"/>
      <c r="CQ400" s="88"/>
      <c r="CR400" s="88"/>
      <c r="CS400" s="88"/>
      <c r="CT400" s="88"/>
      <c r="CU400" s="88"/>
      <c r="CV400" s="88"/>
      <c r="CW400" s="88"/>
      <c r="CX400" s="88"/>
      <c r="CY400" s="88"/>
      <c r="CZ400" s="88"/>
      <c r="DA400" s="88"/>
      <c r="DB400" s="88"/>
      <c r="DC400" s="88"/>
      <c r="DD400" s="88"/>
      <c r="DE400" s="88"/>
      <c r="DF400" s="88"/>
      <c r="DG400" s="88"/>
      <c r="DH400" s="88"/>
      <c r="DI400" s="88"/>
      <c r="DJ400" s="88"/>
      <c r="DK400" s="88"/>
      <c r="DL400" s="88"/>
      <c r="DM400" s="88"/>
      <c r="DN400" s="88"/>
      <c r="DO400" s="88"/>
      <c r="DP400" s="88"/>
      <c r="DQ400" s="88"/>
      <c r="DR400" s="88"/>
      <c r="DS400" s="88"/>
      <c r="DT400" s="88"/>
      <c r="DU400" s="88"/>
      <c r="DV400" s="88"/>
      <c r="DW400" s="88"/>
      <c r="DX400" s="88"/>
      <c r="DY400" s="88"/>
      <c r="DZ400" s="88"/>
      <c r="EA400" s="88"/>
      <c r="EB400" s="88"/>
      <c r="EC400" s="88"/>
      <c r="ED400" s="88"/>
      <c r="EE400" s="88"/>
      <c r="EF400" s="88"/>
      <c r="EG400" s="88"/>
      <c r="EH400" s="88"/>
      <c r="EI400" s="88"/>
      <c r="EJ400" s="88"/>
      <c r="EK400" s="88"/>
    </row>
    <row r="401" spans="1:141" s="132" customFormat="1" hidden="1" x14ac:dyDescent="0.25">
      <c r="A401" s="274"/>
      <c r="B401" s="278"/>
      <c r="C401" s="274" t="s">
        <v>804</v>
      </c>
      <c r="D401" s="276">
        <v>1.087</v>
      </c>
      <c r="E401" s="276">
        <f t="shared" si="195"/>
        <v>0.15028834865934598</v>
      </c>
      <c r="F401" s="276">
        <v>40</v>
      </c>
      <c r="G401" s="276">
        <f t="shared" si="199"/>
        <v>0.35003999999999996</v>
      </c>
      <c r="H401" s="276">
        <f t="shared" si="189"/>
        <v>3.8504399999999994</v>
      </c>
      <c r="I401" s="276">
        <f t="shared" si="200"/>
        <v>4.3999999999999995</v>
      </c>
      <c r="J401" s="276">
        <v>11</v>
      </c>
      <c r="K401" s="296"/>
      <c r="L401" s="158"/>
      <c r="M401" s="158"/>
      <c r="N401" s="159"/>
      <c r="O401" s="158"/>
      <c r="P401" s="158"/>
      <c r="Q401" s="158"/>
      <c r="R401" s="158"/>
      <c r="S401" s="94"/>
      <c r="T401" s="94"/>
      <c r="U401" s="94"/>
      <c r="V401" s="94"/>
      <c r="W401" s="94"/>
      <c r="X401" s="94"/>
      <c r="Y401" s="94"/>
      <c r="Z401" s="94"/>
      <c r="AA401" s="94"/>
      <c r="AB401" s="94"/>
      <c r="AC401" s="94"/>
      <c r="AD401" s="94"/>
      <c r="AE401" s="94"/>
      <c r="AF401" s="94"/>
      <c r="AG401" s="94"/>
      <c r="AH401" s="94"/>
      <c r="AI401" s="94"/>
      <c r="AJ401" s="94"/>
      <c r="AK401" s="160"/>
      <c r="AL401" s="160"/>
      <c r="AM401" s="160"/>
      <c r="AN401" s="88"/>
      <c r="AO401" s="88"/>
      <c r="AP401" s="88"/>
      <c r="AQ401" s="88"/>
      <c r="AR401" s="88"/>
      <c r="AS401" s="88"/>
      <c r="AT401" s="88"/>
      <c r="AU401" s="88"/>
      <c r="AV401" s="88"/>
      <c r="AW401" s="88"/>
      <c r="AX401" s="88"/>
      <c r="AY401" s="88"/>
      <c r="AZ401" s="88"/>
      <c r="BA401" s="88"/>
      <c r="BB401" s="88"/>
      <c r="BC401" s="88"/>
      <c r="BD401" s="88"/>
      <c r="BE401" s="88"/>
      <c r="BF401" s="88"/>
      <c r="BG401" s="88"/>
      <c r="BH401" s="88"/>
      <c r="BI401" s="88"/>
      <c r="BJ401" s="88"/>
      <c r="BK401" s="88"/>
      <c r="BL401" s="88"/>
      <c r="BM401" s="88"/>
      <c r="BN401" s="88"/>
      <c r="BO401" s="88"/>
      <c r="BP401" s="88"/>
      <c r="BQ401" s="88"/>
      <c r="BR401" s="88"/>
      <c r="BS401" s="88"/>
      <c r="BT401" s="88"/>
      <c r="BU401" s="88"/>
      <c r="BV401" s="88"/>
      <c r="BW401" s="88"/>
      <c r="BX401" s="88"/>
      <c r="BY401" s="88"/>
      <c r="BZ401" s="88"/>
      <c r="CA401" s="88"/>
      <c r="CB401" s="88"/>
      <c r="CC401" s="88"/>
      <c r="CD401" s="88"/>
      <c r="CE401" s="88"/>
      <c r="CF401" s="88"/>
      <c r="CG401" s="88"/>
      <c r="CH401" s="88"/>
      <c r="CI401" s="88"/>
      <c r="CJ401" s="88"/>
      <c r="CK401" s="88"/>
      <c r="CL401" s="88"/>
      <c r="CM401" s="88"/>
      <c r="CN401" s="88"/>
      <c r="CO401" s="88"/>
      <c r="CP401" s="88"/>
      <c r="CQ401" s="88"/>
      <c r="CR401" s="88"/>
      <c r="CS401" s="88"/>
      <c r="CT401" s="88"/>
      <c r="CU401" s="88"/>
      <c r="CV401" s="88"/>
      <c r="CW401" s="88"/>
      <c r="CX401" s="88"/>
      <c r="CY401" s="88"/>
      <c r="CZ401" s="88"/>
      <c r="DA401" s="88"/>
      <c r="DB401" s="88"/>
      <c r="DC401" s="88"/>
      <c r="DD401" s="88"/>
      <c r="DE401" s="88"/>
      <c r="DF401" s="88"/>
      <c r="DG401" s="88"/>
      <c r="DH401" s="88"/>
      <c r="DI401" s="88"/>
      <c r="DJ401" s="88"/>
      <c r="DK401" s="88"/>
      <c r="DL401" s="88"/>
      <c r="DM401" s="88"/>
      <c r="DN401" s="88"/>
      <c r="DO401" s="88"/>
      <c r="DP401" s="88"/>
      <c r="DQ401" s="88"/>
      <c r="DR401" s="88"/>
      <c r="DS401" s="88"/>
      <c r="DT401" s="88"/>
      <c r="DU401" s="88"/>
      <c r="DV401" s="88"/>
      <c r="DW401" s="88"/>
      <c r="DX401" s="88"/>
      <c r="DY401" s="88"/>
      <c r="DZ401" s="88"/>
      <c r="EA401" s="88"/>
      <c r="EB401" s="88"/>
      <c r="EC401" s="88"/>
      <c r="ED401" s="88"/>
      <c r="EE401" s="88"/>
      <c r="EF401" s="88"/>
      <c r="EG401" s="88"/>
      <c r="EH401" s="88"/>
      <c r="EI401" s="88"/>
      <c r="EJ401" s="88"/>
      <c r="EK401" s="88"/>
    </row>
    <row r="402" spans="1:141" s="132" customFormat="1" hidden="1" x14ac:dyDescent="0.25">
      <c r="A402" s="274"/>
      <c r="B402" s="278"/>
      <c r="C402" s="274" t="s">
        <v>805</v>
      </c>
      <c r="D402" s="276">
        <v>0.87509999999999999</v>
      </c>
      <c r="E402" s="276">
        <f t="shared" si="179"/>
        <v>0.12099110755454802</v>
      </c>
      <c r="F402" s="276">
        <v>40</v>
      </c>
      <c r="G402" s="276">
        <f t="shared" si="199"/>
        <v>0.29904000000000003</v>
      </c>
      <c r="H402" s="276">
        <f t="shared" si="189"/>
        <v>3.2894400000000004</v>
      </c>
      <c r="I402" s="276">
        <f t="shared" si="200"/>
        <v>4.4000000000000004</v>
      </c>
      <c r="J402" s="276">
        <v>11</v>
      </c>
      <c r="K402" s="296"/>
      <c r="L402" s="158"/>
      <c r="M402" s="158"/>
      <c r="N402" s="159"/>
      <c r="O402" s="158"/>
      <c r="P402" s="158"/>
      <c r="Q402" s="158"/>
      <c r="R402" s="158"/>
      <c r="S402" s="94"/>
      <c r="T402" s="94"/>
      <c r="U402" s="94"/>
      <c r="V402" s="94"/>
      <c r="W402" s="94"/>
      <c r="X402" s="94"/>
      <c r="Y402" s="94"/>
      <c r="Z402" s="94"/>
      <c r="AA402" s="94"/>
      <c r="AB402" s="94"/>
      <c r="AC402" s="94"/>
      <c r="AD402" s="94"/>
      <c r="AE402" s="94"/>
      <c r="AF402" s="94"/>
      <c r="AG402" s="94"/>
      <c r="AH402" s="94"/>
      <c r="AI402" s="94"/>
      <c r="AJ402" s="94"/>
      <c r="AK402" s="160"/>
      <c r="AL402" s="160"/>
      <c r="AM402" s="160"/>
      <c r="AN402" s="88"/>
      <c r="AO402" s="88"/>
      <c r="AP402" s="88"/>
      <c r="AQ402" s="88"/>
      <c r="AR402" s="88"/>
      <c r="AS402" s="88"/>
      <c r="AT402" s="88"/>
      <c r="AU402" s="88"/>
      <c r="AV402" s="88"/>
      <c r="AW402" s="88"/>
      <c r="AX402" s="88"/>
      <c r="AY402" s="88"/>
      <c r="AZ402" s="88"/>
      <c r="BA402" s="88"/>
      <c r="BB402" s="88"/>
      <c r="BC402" s="88"/>
      <c r="BD402" s="88"/>
      <c r="BE402" s="88"/>
      <c r="BF402" s="88"/>
      <c r="BG402" s="88"/>
      <c r="BH402" s="88"/>
      <c r="BI402" s="88"/>
      <c r="BJ402" s="88"/>
      <c r="BK402" s="88"/>
      <c r="BL402" s="88"/>
      <c r="BM402" s="88"/>
      <c r="BN402" s="88"/>
      <c r="BO402" s="88"/>
      <c r="BP402" s="88"/>
      <c r="BQ402" s="88"/>
      <c r="BR402" s="88"/>
      <c r="BS402" s="88"/>
      <c r="BT402" s="88"/>
      <c r="BU402" s="88"/>
      <c r="BV402" s="88"/>
      <c r="BW402" s="88"/>
      <c r="BX402" s="88"/>
      <c r="BY402" s="88"/>
      <c r="BZ402" s="88"/>
      <c r="CA402" s="88"/>
      <c r="CB402" s="88"/>
      <c r="CC402" s="88"/>
      <c r="CD402" s="88"/>
      <c r="CE402" s="88"/>
      <c r="CF402" s="88"/>
      <c r="CG402" s="88"/>
      <c r="CH402" s="88"/>
      <c r="CI402" s="88"/>
      <c r="CJ402" s="88"/>
      <c r="CK402" s="88"/>
      <c r="CL402" s="88"/>
      <c r="CM402" s="88"/>
      <c r="CN402" s="88"/>
      <c r="CO402" s="88"/>
      <c r="CP402" s="88"/>
      <c r="CQ402" s="88"/>
      <c r="CR402" s="88"/>
      <c r="CS402" s="88"/>
      <c r="CT402" s="88"/>
      <c r="CU402" s="88"/>
      <c r="CV402" s="88"/>
      <c r="CW402" s="88"/>
      <c r="CX402" s="88"/>
      <c r="CY402" s="88"/>
      <c r="CZ402" s="88"/>
      <c r="DA402" s="88"/>
      <c r="DB402" s="88"/>
      <c r="DC402" s="88"/>
      <c r="DD402" s="88"/>
      <c r="DE402" s="88"/>
      <c r="DF402" s="88"/>
      <c r="DG402" s="88"/>
      <c r="DH402" s="88"/>
      <c r="DI402" s="88"/>
      <c r="DJ402" s="88"/>
      <c r="DK402" s="88"/>
      <c r="DL402" s="88"/>
      <c r="DM402" s="88"/>
      <c r="DN402" s="88"/>
      <c r="DO402" s="88"/>
      <c r="DP402" s="88"/>
      <c r="DQ402" s="88"/>
      <c r="DR402" s="88"/>
      <c r="DS402" s="88"/>
      <c r="DT402" s="88"/>
      <c r="DU402" s="88"/>
      <c r="DV402" s="88"/>
      <c r="DW402" s="88"/>
      <c r="DX402" s="88"/>
      <c r="DY402" s="88"/>
      <c r="DZ402" s="88"/>
      <c r="EA402" s="88"/>
      <c r="EB402" s="88"/>
      <c r="EC402" s="88"/>
      <c r="ED402" s="88"/>
      <c r="EE402" s="88"/>
      <c r="EF402" s="88"/>
      <c r="EG402" s="88"/>
      <c r="EH402" s="88"/>
      <c r="EI402" s="88"/>
      <c r="EJ402" s="88"/>
      <c r="EK402" s="88"/>
    </row>
    <row r="403" spans="1:141" s="132" customFormat="1" hidden="1" x14ac:dyDescent="0.25">
      <c r="A403" s="274"/>
      <c r="B403" s="278"/>
      <c r="C403" s="274" t="s">
        <v>806</v>
      </c>
      <c r="D403" s="276">
        <v>0.74760000000000004</v>
      </c>
      <c r="E403" s="276">
        <f t="shared" si="195"/>
        <v>0.10336298938153365</v>
      </c>
      <c r="F403" s="276">
        <v>40</v>
      </c>
      <c r="G403" s="276">
        <f t="shared" si="199"/>
        <v>0.24855999999999998</v>
      </c>
      <c r="H403" s="276">
        <f t="shared" si="189"/>
        <v>1.2427999999999999</v>
      </c>
      <c r="I403" s="276">
        <f t="shared" si="200"/>
        <v>2</v>
      </c>
      <c r="J403" s="276">
        <v>5</v>
      </c>
      <c r="K403" s="296"/>
      <c r="L403" s="158"/>
      <c r="M403" s="158"/>
      <c r="N403" s="159"/>
      <c r="O403" s="158"/>
      <c r="P403" s="158"/>
      <c r="Q403" s="158"/>
      <c r="R403" s="158"/>
      <c r="S403" s="94"/>
      <c r="T403" s="94"/>
      <c r="U403" s="94"/>
      <c r="V403" s="94"/>
      <c r="W403" s="94"/>
      <c r="X403" s="94"/>
      <c r="Y403" s="94"/>
      <c r="Z403" s="94"/>
      <c r="AA403" s="94"/>
      <c r="AB403" s="94"/>
      <c r="AC403" s="94"/>
      <c r="AD403" s="94"/>
      <c r="AE403" s="94"/>
      <c r="AF403" s="94"/>
      <c r="AG403" s="94"/>
      <c r="AH403" s="94"/>
      <c r="AI403" s="94"/>
      <c r="AJ403" s="94"/>
      <c r="AK403" s="160"/>
      <c r="AL403" s="160"/>
      <c r="AM403" s="160"/>
      <c r="AN403" s="88"/>
      <c r="AO403" s="88"/>
      <c r="AP403" s="88"/>
      <c r="AQ403" s="88"/>
      <c r="AR403" s="88"/>
      <c r="AS403" s="88"/>
      <c r="AT403" s="88"/>
      <c r="AU403" s="88"/>
      <c r="AV403" s="88"/>
      <c r="AW403" s="88"/>
      <c r="AX403" s="88"/>
      <c r="AY403" s="88"/>
      <c r="AZ403" s="88"/>
      <c r="BA403" s="88"/>
      <c r="BB403" s="88"/>
      <c r="BC403" s="88"/>
      <c r="BD403" s="88"/>
      <c r="BE403" s="88"/>
      <c r="BF403" s="88"/>
      <c r="BG403" s="88"/>
      <c r="BH403" s="88"/>
      <c r="BI403" s="88"/>
      <c r="BJ403" s="88"/>
      <c r="BK403" s="88"/>
      <c r="BL403" s="88"/>
      <c r="BM403" s="88"/>
      <c r="BN403" s="88"/>
      <c r="BO403" s="88"/>
      <c r="BP403" s="88"/>
      <c r="BQ403" s="88"/>
      <c r="BR403" s="88"/>
      <c r="BS403" s="88"/>
      <c r="BT403" s="88"/>
      <c r="BU403" s="88"/>
      <c r="BV403" s="88"/>
      <c r="BW403" s="88"/>
      <c r="BX403" s="88"/>
      <c r="BY403" s="88"/>
      <c r="BZ403" s="88"/>
      <c r="CA403" s="88"/>
      <c r="CB403" s="88"/>
      <c r="CC403" s="88"/>
      <c r="CD403" s="88"/>
      <c r="CE403" s="88"/>
      <c r="CF403" s="88"/>
      <c r="CG403" s="88"/>
      <c r="CH403" s="88"/>
      <c r="CI403" s="88"/>
      <c r="CJ403" s="88"/>
      <c r="CK403" s="88"/>
      <c r="CL403" s="88"/>
      <c r="CM403" s="88"/>
      <c r="CN403" s="88"/>
      <c r="CO403" s="88"/>
      <c r="CP403" s="88"/>
      <c r="CQ403" s="88"/>
      <c r="CR403" s="88"/>
      <c r="CS403" s="88"/>
      <c r="CT403" s="88"/>
      <c r="CU403" s="88"/>
      <c r="CV403" s="88"/>
      <c r="CW403" s="88"/>
      <c r="CX403" s="88"/>
      <c r="CY403" s="88"/>
      <c r="CZ403" s="88"/>
      <c r="DA403" s="88"/>
      <c r="DB403" s="88"/>
      <c r="DC403" s="88"/>
      <c r="DD403" s="88"/>
      <c r="DE403" s="88"/>
      <c r="DF403" s="88"/>
      <c r="DG403" s="88"/>
      <c r="DH403" s="88"/>
      <c r="DI403" s="88"/>
      <c r="DJ403" s="88"/>
      <c r="DK403" s="88"/>
      <c r="DL403" s="88"/>
      <c r="DM403" s="88"/>
      <c r="DN403" s="88"/>
      <c r="DO403" s="88"/>
      <c r="DP403" s="88"/>
      <c r="DQ403" s="88"/>
      <c r="DR403" s="88"/>
      <c r="DS403" s="88"/>
      <c r="DT403" s="88"/>
      <c r="DU403" s="88"/>
      <c r="DV403" s="88"/>
      <c r="DW403" s="88"/>
      <c r="DX403" s="88"/>
      <c r="DY403" s="88"/>
      <c r="DZ403" s="88"/>
      <c r="EA403" s="88"/>
      <c r="EB403" s="88"/>
      <c r="EC403" s="88"/>
      <c r="ED403" s="88"/>
      <c r="EE403" s="88"/>
      <c r="EF403" s="88"/>
      <c r="EG403" s="88"/>
      <c r="EH403" s="88"/>
      <c r="EI403" s="88"/>
      <c r="EJ403" s="88"/>
      <c r="EK403" s="88"/>
    </row>
    <row r="404" spans="1:141" s="132" customFormat="1" hidden="1" x14ac:dyDescent="0.25">
      <c r="A404" s="274"/>
      <c r="B404" s="278"/>
      <c r="C404" s="274" t="s">
        <v>807</v>
      </c>
      <c r="D404" s="276">
        <v>0.62139999999999995</v>
      </c>
      <c r="E404" s="276">
        <f t="shared" si="179"/>
        <v>8.5914608884008842E-2</v>
      </c>
      <c r="F404" s="276">
        <v>40</v>
      </c>
      <c r="G404" s="276">
        <f t="shared" si="199"/>
        <v>0.52107999999999999</v>
      </c>
      <c r="H404" s="276">
        <f t="shared" si="189"/>
        <v>3.6475599999999999</v>
      </c>
      <c r="I404" s="276">
        <f t="shared" si="200"/>
        <v>2.8</v>
      </c>
      <c r="J404" s="276">
        <v>7</v>
      </c>
      <c r="K404" s="296"/>
      <c r="L404" s="158"/>
      <c r="M404" s="158"/>
      <c r="N404" s="159"/>
      <c r="O404" s="158"/>
      <c r="P404" s="158"/>
      <c r="Q404" s="158"/>
      <c r="R404" s="158"/>
      <c r="S404" s="94"/>
      <c r="T404" s="94"/>
      <c r="U404" s="94"/>
      <c r="V404" s="94"/>
      <c r="W404" s="94"/>
      <c r="X404" s="94"/>
      <c r="Y404" s="94"/>
      <c r="Z404" s="94"/>
      <c r="AA404" s="94"/>
      <c r="AB404" s="94"/>
      <c r="AC404" s="94"/>
      <c r="AD404" s="94"/>
      <c r="AE404" s="94"/>
      <c r="AF404" s="94"/>
      <c r="AG404" s="94"/>
      <c r="AH404" s="94"/>
      <c r="AI404" s="94"/>
      <c r="AJ404" s="94"/>
      <c r="AK404" s="160"/>
      <c r="AL404" s="160"/>
      <c r="AM404" s="160"/>
      <c r="AN404" s="88"/>
      <c r="AO404" s="88"/>
      <c r="AP404" s="88"/>
      <c r="AQ404" s="88"/>
      <c r="AR404" s="88"/>
      <c r="AS404" s="88"/>
      <c r="AT404" s="88"/>
      <c r="AU404" s="88"/>
      <c r="AV404" s="88"/>
      <c r="AW404" s="88"/>
      <c r="AX404" s="88"/>
      <c r="AY404" s="88"/>
      <c r="AZ404" s="88"/>
      <c r="BA404" s="88"/>
      <c r="BB404" s="88"/>
      <c r="BC404" s="88"/>
      <c r="BD404" s="88"/>
      <c r="BE404" s="88"/>
      <c r="BF404" s="88"/>
      <c r="BG404" s="88"/>
      <c r="BH404" s="88"/>
      <c r="BI404" s="88"/>
      <c r="BJ404" s="88"/>
      <c r="BK404" s="88"/>
      <c r="BL404" s="88"/>
      <c r="BM404" s="88"/>
      <c r="BN404" s="88"/>
      <c r="BO404" s="88"/>
      <c r="BP404" s="88"/>
      <c r="BQ404" s="88"/>
      <c r="BR404" s="88"/>
      <c r="BS404" s="88"/>
      <c r="BT404" s="88"/>
      <c r="BU404" s="88"/>
      <c r="BV404" s="88"/>
      <c r="BW404" s="88"/>
      <c r="BX404" s="88"/>
      <c r="BY404" s="88"/>
      <c r="BZ404" s="88"/>
      <c r="CA404" s="88"/>
      <c r="CB404" s="88"/>
      <c r="CC404" s="88"/>
      <c r="CD404" s="88"/>
      <c r="CE404" s="88"/>
      <c r="CF404" s="88"/>
      <c r="CG404" s="88"/>
      <c r="CH404" s="88"/>
      <c r="CI404" s="88"/>
      <c r="CJ404" s="88"/>
      <c r="CK404" s="88"/>
      <c r="CL404" s="88"/>
      <c r="CM404" s="88"/>
      <c r="CN404" s="88"/>
      <c r="CO404" s="88"/>
      <c r="CP404" s="88"/>
      <c r="CQ404" s="88"/>
      <c r="CR404" s="88"/>
      <c r="CS404" s="88"/>
      <c r="CT404" s="88"/>
      <c r="CU404" s="88"/>
      <c r="CV404" s="88"/>
      <c r="CW404" s="88"/>
      <c r="CX404" s="88"/>
      <c r="CY404" s="88"/>
      <c r="CZ404" s="88"/>
      <c r="DA404" s="88"/>
      <c r="DB404" s="88"/>
      <c r="DC404" s="88"/>
      <c r="DD404" s="88"/>
      <c r="DE404" s="88"/>
      <c r="DF404" s="88"/>
      <c r="DG404" s="88"/>
      <c r="DH404" s="88"/>
      <c r="DI404" s="88"/>
      <c r="DJ404" s="88"/>
      <c r="DK404" s="88"/>
      <c r="DL404" s="88"/>
      <c r="DM404" s="88"/>
      <c r="DN404" s="88"/>
      <c r="DO404" s="88"/>
      <c r="DP404" s="88"/>
      <c r="DQ404" s="88"/>
      <c r="DR404" s="88"/>
      <c r="DS404" s="88"/>
      <c r="DT404" s="88"/>
      <c r="DU404" s="88"/>
      <c r="DV404" s="88"/>
      <c r="DW404" s="88"/>
      <c r="DX404" s="88"/>
      <c r="DY404" s="88"/>
      <c r="DZ404" s="88"/>
      <c r="EA404" s="88"/>
      <c r="EB404" s="88"/>
      <c r="EC404" s="88"/>
      <c r="ED404" s="88"/>
      <c r="EE404" s="88"/>
      <c r="EF404" s="88"/>
      <c r="EG404" s="88"/>
      <c r="EH404" s="88"/>
      <c r="EI404" s="88"/>
      <c r="EJ404" s="88"/>
      <c r="EK404" s="88"/>
    </row>
    <row r="405" spans="1:141" s="132" customFormat="1" hidden="1" x14ac:dyDescent="0.25">
      <c r="A405" s="274"/>
      <c r="B405" s="278"/>
      <c r="C405" s="309" t="s">
        <v>808</v>
      </c>
      <c r="D405" s="276">
        <v>1.3027</v>
      </c>
      <c r="E405" s="276">
        <f t="shared" si="195"/>
        <v>0.180110976815575</v>
      </c>
      <c r="F405" s="276">
        <v>40</v>
      </c>
      <c r="G405" s="276">
        <f t="shared" si="199"/>
        <v>0.99600000000000011</v>
      </c>
      <c r="H405" s="276">
        <f t="shared" si="189"/>
        <v>4.9800000000000004</v>
      </c>
      <c r="I405" s="276">
        <f t="shared" si="200"/>
        <v>2</v>
      </c>
      <c r="J405" s="276">
        <v>5</v>
      </c>
      <c r="K405" s="296"/>
      <c r="L405" s="158"/>
      <c r="M405" s="158"/>
      <c r="N405" s="159"/>
      <c r="O405" s="158"/>
      <c r="P405" s="158"/>
      <c r="Q405" s="158"/>
      <c r="R405" s="158"/>
      <c r="S405" s="94"/>
      <c r="T405" s="94"/>
      <c r="U405" s="94"/>
      <c r="V405" s="94"/>
      <c r="W405" s="94"/>
      <c r="X405" s="94"/>
      <c r="Y405" s="94"/>
      <c r="Z405" s="94"/>
      <c r="AA405" s="94"/>
      <c r="AB405" s="94"/>
      <c r="AC405" s="94"/>
      <c r="AD405" s="94"/>
      <c r="AE405" s="94"/>
      <c r="AF405" s="94"/>
      <c r="AG405" s="94"/>
      <c r="AH405" s="94"/>
      <c r="AI405" s="94"/>
      <c r="AJ405" s="94"/>
      <c r="AK405" s="160"/>
      <c r="AL405" s="160"/>
      <c r="AM405" s="160"/>
      <c r="AN405" s="88"/>
      <c r="AO405" s="88"/>
      <c r="AP405" s="88"/>
      <c r="AQ405" s="88"/>
      <c r="AR405" s="88"/>
      <c r="AS405" s="88"/>
      <c r="AT405" s="88"/>
      <c r="AU405" s="88"/>
      <c r="AV405" s="88"/>
      <c r="AW405" s="88"/>
      <c r="AX405" s="88"/>
      <c r="AY405" s="88"/>
      <c r="AZ405" s="88"/>
      <c r="BA405" s="88"/>
      <c r="BB405" s="88"/>
      <c r="BC405" s="88"/>
      <c r="BD405" s="88"/>
      <c r="BE405" s="88"/>
      <c r="BF405" s="88"/>
      <c r="BG405" s="88"/>
      <c r="BH405" s="88"/>
      <c r="BI405" s="88"/>
      <c r="BJ405" s="88"/>
      <c r="BK405" s="88"/>
      <c r="BL405" s="88"/>
      <c r="BM405" s="88"/>
      <c r="BN405" s="88"/>
      <c r="BO405" s="88"/>
      <c r="BP405" s="88"/>
      <c r="BQ405" s="88"/>
      <c r="BR405" s="88"/>
      <c r="BS405" s="88"/>
      <c r="BT405" s="88"/>
      <c r="BU405" s="88"/>
      <c r="BV405" s="88"/>
      <c r="BW405" s="88"/>
      <c r="BX405" s="88"/>
      <c r="BY405" s="88"/>
      <c r="BZ405" s="88"/>
      <c r="CA405" s="88"/>
      <c r="CB405" s="88"/>
      <c r="CC405" s="88"/>
      <c r="CD405" s="88"/>
      <c r="CE405" s="88"/>
      <c r="CF405" s="88"/>
      <c r="CG405" s="88"/>
      <c r="CH405" s="88"/>
      <c r="CI405" s="88"/>
      <c r="CJ405" s="88"/>
      <c r="CK405" s="88"/>
      <c r="CL405" s="88"/>
      <c r="CM405" s="88"/>
      <c r="CN405" s="88"/>
      <c r="CO405" s="88"/>
      <c r="CP405" s="88"/>
      <c r="CQ405" s="88"/>
      <c r="CR405" s="88"/>
      <c r="CS405" s="88"/>
      <c r="CT405" s="88"/>
      <c r="CU405" s="88"/>
      <c r="CV405" s="88"/>
      <c r="CW405" s="88"/>
      <c r="CX405" s="88"/>
      <c r="CY405" s="88"/>
      <c r="CZ405" s="88"/>
      <c r="DA405" s="88"/>
      <c r="DB405" s="88"/>
      <c r="DC405" s="88"/>
      <c r="DD405" s="88"/>
      <c r="DE405" s="88"/>
      <c r="DF405" s="88"/>
      <c r="DG405" s="88"/>
      <c r="DH405" s="88"/>
      <c r="DI405" s="88"/>
      <c r="DJ405" s="88"/>
      <c r="DK405" s="88"/>
      <c r="DL405" s="88"/>
      <c r="DM405" s="88"/>
      <c r="DN405" s="88"/>
      <c r="DO405" s="88"/>
      <c r="DP405" s="88"/>
      <c r="DQ405" s="88"/>
      <c r="DR405" s="88"/>
      <c r="DS405" s="88"/>
      <c r="DT405" s="88"/>
      <c r="DU405" s="88"/>
      <c r="DV405" s="88"/>
      <c r="DW405" s="88"/>
      <c r="DX405" s="88"/>
      <c r="DY405" s="88"/>
      <c r="DZ405" s="88"/>
      <c r="EA405" s="88"/>
      <c r="EB405" s="88"/>
      <c r="EC405" s="88"/>
      <c r="ED405" s="88"/>
      <c r="EE405" s="88"/>
      <c r="EF405" s="88"/>
      <c r="EG405" s="88"/>
      <c r="EH405" s="88"/>
      <c r="EI405" s="88"/>
      <c r="EJ405" s="88"/>
      <c r="EK405" s="88"/>
    </row>
    <row r="406" spans="1:141" hidden="1" x14ac:dyDescent="0.25">
      <c r="A406" s="274"/>
      <c r="B406" s="278"/>
      <c r="C406" s="274" t="s">
        <v>844</v>
      </c>
      <c r="D406" s="276">
        <v>2.4900000000000002</v>
      </c>
      <c r="E406" s="276">
        <f t="shared" si="179"/>
        <v>0.34426677843769238</v>
      </c>
      <c r="F406" s="306">
        <v>40</v>
      </c>
      <c r="G406" s="306">
        <f t="shared" si="199"/>
        <v>0.54200000000000004</v>
      </c>
      <c r="H406" s="306">
        <f t="shared" ref="H406:H409" si="201">+G406*J406</f>
        <v>2.71</v>
      </c>
      <c r="I406" s="306">
        <f t="shared" si="200"/>
        <v>2</v>
      </c>
      <c r="J406" s="306">
        <v>5</v>
      </c>
      <c r="K406" s="296"/>
      <c r="L406" s="158"/>
    </row>
    <row r="407" spans="1:141" hidden="1" x14ac:dyDescent="0.25">
      <c r="A407" s="274"/>
      <c r="B407" s="278"/>
      <c r="C407" s="274" t="s">
        <v>854</v>
      </c>
      <c r="D407" s="306">
        <v>1.355</v>
      </c>
      <c r="E407" s="276">
        <f t="shared" si="195"/>
        <v>0.18734196176027032</v>
      </c>
      <c r="F407" s="306">
        <v>40</v>
      </c>
      <c r="G407" s="276">
        <f t="shared" ref="G407" si="202">+D407*F407/100</f>
        <v>0.54200000000000004</v>
      </c>
      <c r="H407" s="306">
        <f t="shared" ref="H407" si="203">+G407*J407</f>
        <v>2.71</v>
      </c>
      <c r="I407" s="276">
        <f t="shared" ref="I407:I408" si="204">+H407/D407</f>
        <v>2</v>
      </c>
      <c r="J407" s="306">
        <v>5</v>
      </c>
      <c r="K407" s="296"/>
      <c r="L407" s="158"/>
    </row>
    <row r="408" spans="1:141" s="221" customFormat="1" x14ac:dyDescent="0.2">
      <c r="A408" s="261">
        <v>4</v>
      </c>
      <c r="B408" s="266" t="s">
        <v>104</v>
      </c>
      <c r="C408" s="261" t="s">
        <v>1203</v>
      </c>
      <c r="D408" s="267">
        <v>0.19</v>
      </c>
      <c r="E408" s="265">
        <f t="shared" si="195"/>
        <v>2.6269352571550823E-2</v>
      </c>
      <c r="F408" s="267">
        <v>40</v>
      </c>
      <c r="G408" s="267">
        <f>+D408*F408/100</f>
        <v>7.5999999999999998E-2</v>
      </c>
      <c r="H408" s="267">
        <f>+G408*J408</f>
        <v>7.5999999999999998E-2</v>
      </c>
      <c r="I408" s="267">
        <f t="shared" si="204"/>
        <v>0.39999999999999997</v>
      </c>
      <c r="J408" s="267">
        <v>1</v>
      </c>
      <c r="K408" s="291"/>
      <c r="L408" s="192"/>
      <c r="M408" s="192"/>
      <c r="N408" s="163"/>
      <c r="O408" s="192"/>
      <c r="P408" s="192"/>
      <c r="Q408" s="192"/>
      <c r="R408" s="192"/>
      <c r="S408" s="219"/>
      <c r="T408" s="219"/>
      <c r="U408" s="219"/>
      <c r="V408" s="219"/>
      <c r="W408" s="219"/>
      <c r="X408" s="219"/>
      <c r="Y408" s="219"/>
      <c r="Z408" s="219"/>
      <c r="AA408" s="219"/>
      <c r="AB408" s="219"/>
      <c r="AC408" s="219"/>
      <c r="AD408" s="219"/>
      <c r="AE408" s="219"/>
      <c r="AF408" s="219"/>
      <c r="AG408" s="219"/>
      <c r="AH408" s="219"/>
      <c r="AI408" s="219"/>
      <c r="AJ408" s="219"/>
      <c r="AK408" s="220"/>
      <c r="AL408" s="220"/>
      <c r="AM408" s="220"/>
    </row>
    <row r="409" spans="1:141" x14ac:dyDescent="0.25">
      <c r="A409" s="261">
        <v>5</v>
      </c>
      <c r="B409" s="266" t="s">
        <v>105</v>
      </c>
      <c r="C409" s="261"/>
      <c r="D409" s="267">
        <f>+SUM(D410:D411)</f>
        <v>0.2</v>
      </c>
      <c r="E409" s="267">
        <f t="shared" ref="E409" si="205">+D409/$D$3*100</f>
        <v>2.7651950075316654E-2</v>
      </c>
      <c r="F409" s="267">
        <v>40</v>
      </c>
      <c r="G409" s="267">
        <f t="shared" ref="G409" si="206">+D409*F409/100</f>
        <v>0.08</v>
      </c>
      <c r="H409" s="267">
        <f t="shared" si="201"/>
        <v>0.4</v>
      </c>
      <c r="I409" s="267">
        <f t="shared" ref="I409" si="207">+H409/D409</f>
        <v>2</v>
      </c>
      <c r="J409" s="267">
        <v>5</v>
      </c>
      <c r="K409" s="291"/>
      <c r="L409" s="158"/>
    </row>
    <row r="410" spans="1:141" hidden="1" x14ac:dyDescent="0.25">
      <c r="A410" s="274"/>
      <c r="B410" s="278"/>
      <c r="C410" s="274" t="s">
        <v>812</v>
      </c>
      <c r="D410" s="276">
        <v>0.05</v>
      </c>
      <c r="E410" s="306">
        <f t="shared" ref="E410:E414" si="208">+D410/$D$3*100</f>
        <v>6.9129875188291634E-3</v>
      </c>
      <c r="F410" s="306">
        <v>40</v>
      </c>
      <c r="G410" s="306">
        <f t="shared" ref="G410:G411" si="209">+D410*F410/100</f>
        <v>0.02</v>
      </c>
      <c r="H410" s="306">
        <f t="shared" ref="H410:H411" si="210">+G410*J410</f>
        <v>0.02</v>
      </c>
      <c r="I410" s="306">
        <f t="shared" ref="I410:I411" si="211">+H410/D410</f>
        <v>0.39999999999999997</v>
      </c>
      <c r="J410" s="306">
        <v>1</v>
      </c>
      <c r="K410" s="296"/>
      <c r="L410" s="158"/>
    </row>
    <row r="411" spans="1:141" hidden="1" x14ac:dyDescent="0.25">
      <c r="A411" s="274"/>
      <c r="B411" s="278"/>
      <c r="C411" s="274" t="s">
        <v>809</v>
      </c>
      <c r="D411" s="276">
        <v>0.15</v>
      </c>
      <c r="E411" s="276">
        <f t="shared" si="208"/>
        <v>2.0738962556487491E-2</v>
      </c>
      <c r="F411" s="276">
        <v>40</v>
      </c>
      <c r="G411" s="276">
        <f t="shared" si="209"/>
        <v>0.06</v>
      </c>
      <c r="H411" s="276">
        <f t="shared" si="210"/>
        <v>0.06</v>
      </c>
      <c r="I411" s="276">
        <f t="shared" si="211"/>
        <v>0.4</v>
      </c>
      <c r="J411" s="276">
        <v>1</v>
      </c>
      <c r="K411" s="296"/>
      <c r="L411" s="158"/>
    </row>
    <row r="412" spans="1:141" ht="19.5" customHeight="1" x14ac:dyDescent="0.25">
      <c r="A412" s="263" t="s">
        <v>608</v>
      </c>
      <c r="B412" s="264" t="s">
        <v>624</v>
      </c>
      <c r="C412" s="261"/>
      <c r="D412" s="267">
        <v>0.47</v>
      </c>
      <c r="E412" s="304">
        <f t="shared" si="208"/>
        <v>6.4982082676994124E-2</v>
      </c>
      <c r="F412" s="267"/>
      <c r="G412" s="267"/>
      <c r="H412" s="267"/>
      <c r="I412" s="267"/>
      <c r="J412" s="267"/>
      <c r="K412" s="291"/>
      <c r="L412" s="158"/>
    </row>
    <row r="413" spans="1:141" x14ac:dyDescent="0.25">
      <c r="A413" s="261">
        <v>1</v>
      </c>
      <c r="B413" s="266" t="s">
        <v>120</v>
      </c>
      <c r="C413" s="261" t="s">
        <v>811</v>
      </c>
      <c r="D413" s="267">
        <v>0.47</v>
      </c>
      <c r="E413" s="267">
        <f t="shared" si="208"/>
        <v>6.4982082676994124E-2</v>
      </c>
      <c r="F413" s="267"/>
      <c r="G413" s="267"/>
      <c r="H413" s="267"/>
      <c r="I413" s="267"/>
      <c r="J413" s="267"/>
      <c r="K413" s="291"/>
      <c r="L413" s="158"/>
    </row>
    <row r="414" spans="1:141" ht="19.5" customHeight="1" x14ac:dyDescent="0.25">
      <c r="A414" s="261" t="s">
        <v>623</v>
      </c>
      <c r="B414" s="266" t="s">
        <v>605</v>
      </c>
      <c r="C414" s="274"/>
      <c r="D414" s="267">
        <f>+D337-D338-D388-D412</f>
        <v>26.902399999999997</v>
      </c>
      <c r="E414" s="267">
        <f t="shared" si="208"/>
        <v>3.7195191085309935</v>
      </c>
      <c r="F414" s="276"/>
      <c r="G414" s="276"/>
      <c r="H414" s="276"/>
      <c r="I414" s="276"/>
      <c r="J414" s="276"/>
      <c r="K414" s="296"/>
      <c r="L414" s="158"/>
    </row>
    <row r="415" spans="1:141" x14ac:dyDescent="0.25">
      <c r="J415" s="94"/>
    </row>
    <row r="416" spans="1:141" x14ac:dyDescent="0.25">
      <c r="J416" s="94"/>
    </row>
    <row r="417" spans="10:10" x14ac:dyDescent="0.25">
      <c r="J417" s="94"/>
    </row>
    <row r="418" spans="10:10" x14ac:dyDescent="0.25">
      <c r="J418" s="94"/>
    </row>
    <row r="419" spans="10:10" x14ac:dyDescent="0.25">
      <c r="J419" s="94"/>
    </row>
    <row r="420" spans="10:10" x14ac:dyDescent="0.25">
      <c r="J420" s="94"/>
    </row>
    <row r="421" spans="10:10" x14ac:dyDescent="0.25">
      <c r="J421" s="94"/>
    </row>
    <row r="422" spans="10:10" x14ac:dyDescent="0.25">
      <c r="J422" s="94"/>
    </row>
    <row r="423" spans="10:10" x14ac:dyDescent="0.25">
      <c r="J423" s="94"/>
    </row>
    <row r="424" spans="10:10" x14ac:dyDescent="0.25">
      <c r="J424" s="94"/>
    </row>
    <row r="425" spans="10:10" x14ac:dyDescent="0.25">
      <c r="J425" s="94"/>
    </row>
    <row r="426" spans="10:10" x14ac:dyDescent="0.25">
      <c r="J426" s="94"/>
    </row>
    <row r="427" spans="10:10" x14ac:dyDescent="0.25">
      <c r="J427" s="94"/>
    </row>
    <row r="428" spans="10:10" x14ac:dyDescent="0.25">
      <c r="J428" s="94"/>
    </row>
    <row r="429" spans="10:10" x14ac:dyDescent="0.25">
      <c r="J429" s="94"/>
    </row>
    <row r="430" spans="10:10" x14ac:dyDescent="0.25">
      <c r="J430" s="94"/>
    </row>
    <row r="431" spans="10:10" x14ac:dyDescent="0.25">
      <c r="J431" s="94"/>
    </row>
    <row r="432" spans="10:10" x14ac:dyDescent="0.25">
      <c r="J432" s="94"/>
    </row>
    <row r="433" spans="10:10" x14ac:dyDescent="0.25">
      <c r="J433" s="94"/>
    </row>
    <row r="434" spans="10:10" x14ac:dyDescent="0.25">
      <c r="J434" s="94"/>
    </row>
    <row r="435" spans="10:10" x14ac:dyDescent="0.25">
      <c r="J435" s="94"/>
    </row>
    <row r="436" spans="10:10" x14ac:dyDescent="0.25">
      <c r="J436" s="94"/>
    </row>
    <row r="437" spans="10:10" x14ac:dyDescent="0.25">
      <c r="J437" s="94"/>
    </row>
    <row r="438" spans="10:10" x14ac:dyDescent="0.25">
      <c r="J438" s="94"/>
    </row>
    <row r="439" spans="10:10" x14ac:dyDescent="0.25">
      <c r="J439" s="94"/>
    </row>
    <row r="440" spans="10:10" x14ac:dyDescent="0.25">
      <c r="J440" s="94"/>
    </row>
    <row r="441" spans="10:10" x14ac:dyDescent="0.25">
      <c r="J441" s="94"/>
    </row>
    <row r="442" spans="10:10" x14ac:dyDescent="0.25">
      <c r="J442" s="94"/>
    </row>
    <row r="443" spans="10:10" x14ac:dyDescent="0.25">
      <c r="J443" s="94"/>
    </row>
    <row r="444" spans="10:10" x14ac:dyDescent="0.25">
      <c r="J444" s="94"/>
    </row>
    <row r="445" spans="10:10" x14ac:dyDescent="0.25">
      <c r="J445" s="94"/>
    </row>
    <row r="446" spans="10:10" x14ac:dyDescent="0.25">
      <c r="J446" s="94"/>
    </row>
    <row r="447" spans="10:10" x14ac:dyDescent="0.25">
      <c r="J447" s="94"/>
    </row>
    <row r="448" spans="10:10" x14ac:dyDescent="0.25">
      <c r="J448" s="94"/>
    </row>
    <row r="449" spans="10:10" x14ac:dyDescent="0.25">
      <c r="J449" s="94"/>
    </row>
    <row r="450" spans="10:10" x14ac:dyDescent="0.25">
      <c r="J450" s="94"/>
    </row>
    <row r="451" spans="10:10" x14ac:dyDescent="0.25">
      <c r="J451" s="94"/>
    </row>
    <row r="452" spans="10:10" x14ac:dyDescent="0.25">
      <c r="J452" s="94"/>
    </row>
    <row r="453" spans="10:10" x14ac:dyDescent="0.25">
      <c r="J453" s="94"/>
    </row>
    <row r="454" spans="10:10" x14ac:dyDescent="0.25">
      <c r="J454" s="94"/>
    </row>
    <row r="455" spans="10:10" x14ac:dyDescent="0.25">
      <c r="J455" s="94"/>
    </row>
    <row r="456" spans="10:10" x14ac:dyDescent="0.25">
      <c r="J456" s="94"/>
    </row>
    <row r="457" spans="10:10" x14ac:dyDescent="0.25">
      <c r="J457" s="94"/>
    </row>
    <row r="458" spans="10:10" x14ac:dyDescent="0.25">
      <c r="J458" s="94"/>
    </row>
    <row r="459" spans="10:10" x14ac:dyDescent="0.25">
      <c r="J459" s="94"/>
    </row>
    <row r="460" spans="10:10" x14ac:dyDescent="0.25">
      <c r="J460" s="94"/>
    </row>
    <row r="461" spans="10:10" x14ac:dyDescent="0.25">
      <c r="J461" s="94"/>
    </row>
    <row r="462" spans="10:10" x14ac:dyDescent="0.25">
      <c r="J462" s="94"/>
    </row>
    <row r="463" spans="10:10" x14ac:dyDescent="0.25">
      <c r="J463" s="94"/>
    </row>
    <row r="464" spans="10:10" x14ac:dyDescent="0.25">
      <c r="J464" s="94"/>
    </row>
    <row r="465" spans="10:10" x14ac:dyDescent="0.25">
      <c r="J465" s="94"/>
    </row>
    <row r="466" spans="10:10" x14ac:dyDescent="0.25">
      <c r="J466" s="94"/>
    </row>
    <row r="467" spans="10:10" x14ac:dyDescent="0.25">
      <c r="J467" s="94"/>
    </row>
    <row r="468" spans="10:10" x14ac:dyDescent="0.25">
      <c r="J468" s="94"/>
    </row>
    <row r="469" spans="10:10" x14ac:dyDescent="0.25">
      <c r="J469" s="94"/>
    </row>
    <row r="470" spans="10:10" x14ac:dyDescent="0.25">
      <c r="J470" s="94"/>
    </row>
    <row r="471" spans="10:10" x14ac:dyDescent="0.25">
      <c r="J471" s="94"/>
    </row>
    <row r="472" spans="10:10" x14ac:dyDescent="0.25">
      <c r="J472" s="94"/>
    </row>
    <row r="473" spans="10:10" x14ac:dyDescent="0.25">
      <c r="J473" s="94"/>
    </row>
    <row r="474" spans="10:10" x14ac:dyDescent="0.25">
      <c r="J474" s="94"/>
    </row>
    <row r="475" spans="10:10" x14ac:dyDescent="0.25">
      <c r="J475" s="94"/>
    </row>
    <row r="476" spans="10:10" x14ac:dyDescent="0.25">
      <c r="J476" s="94"/>
    </row>
    <row r="477" spans="10:10" x14ac:dyDescent="0.25">
      <c r="J477" s="94"/>
    </row>
    <row r="478" spans="10:10" x14ac:dyDescent="0.25">
      <c r="J478" s="94"/>
    </row>
    <row r="479" spans="10:10" x14ac:dyDescent="0.25">
      <c r="J479" s="94"/>
    </row>
    <row r="480" spans="10:10" x14ac:dyDescent="0.25">
      <c r="J480" s="94"/>
    </row>
    <row r="481" spans="10:10" x14ac:dyDescent="0.25">
      <c r="J481" s="94"/>
    </row>
    <row r="482" spans="10:10" x14ac:dyDescent="0.25">
      <c r="J482" s="94"/>
    </row>
    <row r="483" spans="10:10" x14ac:dyDescent="0.25">
      <c r="J483" s="94"/>
    </row>
    <row r="484" spans="10:10" x14ac:dyDescent="0.25">
      <c r="J484" s="94"/>
    </row>
    <row r="485" spans="10:10" x14ac:dyDescent="0.25">
      <c r="J485" s="94"/>
    </row>
    <row r="486" spans="10:10" x14ac:dyDescent="0.25">
      <c r="J486" s="94"/>
    </row>
    <row r="487" spans="10:10" x14ac:dyDescent="0.25">
      <c r="J487" s="94"/>
    </row>
    <row r="488" spans="10:10" x14ac:dyDescent="0.25">
      <c r="J488" s="94"/>
    </row>
    <row r="489" spans="10:10" x14ac:dyDescent="0.25">
      <c r="J489" s="94"/>
    </row>
    <row r="490" spans="10:10" x14ac:dyDescent="0.25">
      <c r="J490" s="94"/>
    </row>
    <row r="491" spans="10:10" x14ac:dyDescent="0.25">
      <c r="J491" s="94"/>
    </row>
    <row r="492" spans="10:10" x14ac:dyDescent="0.25">
      <c r="J492" s="94"/>
    </row>
    <row r="493" spans="10:10" x14ac:dyDescent="0.25">
      <c r="J493" s="94"/>
    </row>
    <row r="494" spans="10:10" x14ac:dyDescent="0.25">
      <c r="J494" s="94"/>
    </row>
    <row r="495" spans="10:10" x14ac:dyDescent="0.25">
      <c r="J495" s="94"/>
    </row>
    <row r="496" spans="10:10" x14ac:dyDescent="0.25">
      <c r="J496" s="94"/>
    </row>
    <row r="497" spans="10:10" x14ac:dyDescent="0.25">
      <c r="J497" s="94"/>
    </row>
    <row r="498" spans="10:10" x14ac:dyDescent="0.25">
      <c r="J498" s="94"/>
    </row>
    <row r="499" spans="10:10" x14ac:dyDescent="0.25">
      <c r="J499" s="94"/>
    </row>
    <row r="500" spans="10:10" x14ac:dyDescent="0.25">
      <c r="J500" s="94"/>
    </row>
    <row r="501" spans="10:10" x14ac:dyDescent="0.25">
      <c r="J501" s="94"/>
    </row>
    <row r="502" spans="10:10" x14ac:dyDescent="0.25">
      <c r="J502" s="94"/>
    </row>
    <row r="503" spans="10:10" x14ac:dyDescent="0.25">
      <c r="J503" s="94"/>
    </row>
    <row r="504" spans="10:10" x14ac:dyDescent="0.25">
      <c r="J504" s="94"/>
    </row>
    <row r="505" spans="10:10" x14ac:dyDescent="0.25">
      <c r="J505" s="94"/>
    </row>
    <row r="506" spans="10:10" x14ac:dyDescent="0.25">
      <c r="J506" s="94"/>
    </row>
    <row r="507" spans="10:10" x14ac:dyDescent="0.25">
      <c r="J507" s="94"/>
    </row>
    <row r="508" spans="10:10" x14ac:dyDescent="0.25">
      <c r="J508" s="94"/>
    </row>
    <row r="509" spans="10:10" x14ac:dyDescent="0.25">
      <c r="J509" s="94"/>
    </row>
    <row r="510" spans="10:10" x14ac:dyDescent="0.25">
      <c r="J510" s="94"/>
    </row>
    <row r="511" spans="10:10" x14ac:dyDescent="0.25">
      <c r="J511" s="94"/>
    </row>
    <row r="512" spans="10:10" x14ac:dyDescent="0.25">
      <c r="J512" s="94"/>
    </row>
    <row r="513" spans="10:10" x14ac:dyDescent="0.25">
      <c r="J513" s="94"/>
    </row>
    <row r="514" spans="10:10" x14ac:dyDescent="0.25">
      <c r="J514" s="94"/>
    </row>
    <row r="515" spans="10:10" x14ac:dyDescent="0.25">
      <c r="J515" s="94"/>
    </row>
    <row r="516" spans="10:10" x14ac:dyDescent="0.25">
      <c r="J516" s="94"/>
    </row>
    <row r="517" spans="10:10" x14ac:dyDescent="0.25">
      <c r="J517" s="94"/>
    </row>
    <row r="518" spans="10:10" x14ac:dyDescent="0.25">
      <c r="J518" s="94"/>
    </row>
    <row r="519" spans="10:10" x14ac:dyDescent="0.25">
      <c r="J519" s="94"/>
    </row>
    <row r="520" spans="10:10" x14ac:dyDescent="0.25">
      <c r="J520" s="94"/>
    </row>
    <row r="521" spans="10:10" x14ac:dyDescent="0.25">
      <c r="J521" s="94"/>
    </row>
    <row r="522" spans="10:10" x14ac:dyDescent="0.25">
      <c r="J522" s="94"/>
    </row>
    <row r="523" spans="10:10" x14ac:dyDescent="0.25">
      <c r="J523" s="94"/>
    </row>
    <row r="524" spans="10:10" x14ac:dyDescent="0.25">
      <c r="J524" s="94"/>
    </row>
    <row r="525" spans="10:10" x14ac:dyDescent="0.25">
      <c r="J525" s="94"/>
    </row>
    <row r="526" spans="10:10" x14ac:dyDescent="0.25">
      <c r="J526" s="94"/>
    </row>
    <row r="527" spans="10:10" x14ac:dyDescent="0.25">
      <c r="J527" s="94"/>
    </row>
    <row r="528" spans="10:10" x14ac:dyDescent="0.25">
      <c r="J528" s="94"/>
    </row>
    <row r="529" spans="10:10" x14ac:dyDescent="0.25">
      <c r="J529" s="94"/>
    </row>
    <row r="530" spans="10:10" x14ac:dyDescent="0.25">
      <c r="J530" s="94"/>
    </row>
    <row r="531" spans="10:10" x14ac:dyDescent="0.25">
      <c r="J531" s="94"/>
    </row>
    <row r="532" spans="10:10" x14ac:dyDescent="0.25">
      <c r="J532" s="94"/>
    </row>
    <row r="533" spans="10:10" x14ac:dyDescent="0.25">
      <c r="J533" s="94"/>
    </row>
    <row r="534" spans="10:10" x14ac:dyDescent="0.25">
      <c r="J534" s="94"/>
    </row>
    <row r="535" spans="10:10" x14ac:dyDescent="0.25">
      <c r="J535" s="94"/>
    </row>
    <row r="536" spans="10:10" x14ac:dyDescent="0.25">
      <c r="J536" s="94"/>
    </row>
    <row r="537" spans="10:10" x14ac:dyDescent="0.25">
      <c r="J537" s="94"/>
    </row>
    <row r="538" spans="10:10" x14ac:dyDescent="0.25">
      <c r="J538" s="94"/>
    </row>
    <row r="539" spans="10:10" x14ac:dyDescent="0.25">
      <c r="J539" s="94"/>
    </row>
    <row r="540" spans="10:10" x14ac:dyDescent="0.25">
      <c r="J540" s="94"/>
    </row>
    <row r="541" spans="10:10" x14ac:dyDescent="0.25">
      <c r="J541" s="94"/>
    </row>
    <row r="542" spans="10:10" x14ac:dyDescent="0.25">
      <c r="J542" s="94"/>
    </row>
    <row r="543" spans="10:10" x14ac:dyDescent="0.25">
      <c r="J543" s="94"/>
    </row>
    <row r="544" spans="10:10" x14ac:dyDescent="0.25">
      <c r="J544" s="94"/>
    </row>
    <row r="545" spans="10:10" x14ac:dyDescent="0.25">
      <c r="J545" s="94"/>
    </row>
    <row r="546" spans="10:10" x14ac:dyDescent="0.25">
      <c r="J546" s="94"/>
    </row>
    <row r="547" spans="10:10" x14ac:dyDescent="0.25">
      <c r="J547" s="94"/>
    </row>
    <row r="548" spans="10:10" x14ac:dyDescent="0.25">
      <c r="J548" s="94"/>
    </row>
    <row r="549" spans="10:10" x14ac:dyDescent="0.25">
      <c r="J549" s="94"/>
    </row>
    <row r="550" spans="10:10" x14ac:dyDescent="0.25">
      <c r="J550" s="94"/>
    </row>
    <row r="551" spans="10:10" x14ac:dyDescent="0.25">
      <c r="J551" s="94"/>
    </row>
    <row r="552" spans="10:10" x14ac:dyDescent="0.25">
      <c r="J552" s="94"/>
    </row>
    <row r="553" spans="10:10" x14ac:dyDescent="0.25">
      <c r="J553" s="94"/>
    </row>
    <row r="554" spans="10:10" x14ac:dyDescent="0.25">
      <c r="J554" s="94"/>
    </row>
    <row r="555" spans="10:10" x14ac:dyDescent="0.25">
      <c r="J555" s="94"/>
    </row>
    <row r="556" spans="10:10" x14ac:dyDescent="0.25">
      <c r="J556" s="94"/>
    </row>
    <row r="557" spans="10:10" x14ac:dyDescent="0.25">
      <c r="J557" s="94"/>
    </row>
    <row r="558" spans="10:10" x14ac:dyDescent="0.25">
      <c r="J558" s="94"/>
    </row>
    <row r="559" spans="10:10" x14ac:dyDescent="0.25">
      <c r="J559" s="94"/>
    </row>
    <row r="560" spans="10:10" x14ac:dyDescent="0.25">
      <c r="J560" s="94"/>
    </row>
    <row r="561" spans="10:10" x14ac:dyDescent="0.25">
      <c r="J561" s="94"/>
    </row>
    <row r="562" spans="10:10" x14ac:dyDescent="0.25">
      <c r="J562" s="94"/>
    </row>
    <row r="563" spans="10:10" x14ac:dyDescent="0.25">
      <c r="J563" s="94"/>
    </row>
    <row r="564" spans="10:10" x14ac:dyDescent="0.25">
      <c r="J564" s="94"/>
    </row>
    <row r="565" spans="10:10" x14ac:dyDescent="0.25">
      <c r="J565" s="94"/>
    </row>
    <row r="566" spans="10:10" x14ac:dyDescent="0.25">
      <c r="J566" s="94"/>
    </row>
    <row r="567" spans="10:10" x14ac:dyDescent="0.25">
      <c r="J567" s="94"/>
    </row>
    <row r="568" spans="10:10" x14ac:dyDescent="0.25">
      <c r="J568" s="94"/>
    </row>
    <row r="569" spans="10:10" x14ac:dyDescent="0.25">
      <c r="J569" s="94"/>
    </row>
    <row r="570" spans="10:10" x14ac:dyDescent="0.25">
      <c r="J570" s="94"/>
    </row>
    <row r="571" spans="10:10" x14ac:dyDescent="0.25">
      <c r="J571" s="94"/>
    </row>
    <row r="572" spans="10:10" x14ac:dyDescent="0.25">
      <c r="J572" s="94"/>
    </row>
    <row r="573" spans="10:10" x14ac:dyDescent="0.25">
      <c r="J573" s="94"/>
    </row>
    <row r="574" spans="10:10" x14ac:dyDescent="0.25">
      <c r="J574" s="94"/>
    </row>
    <row r="575" spans="10:10" x14ac:dyDescent="0.25">
      <c r="J575" s="94"/>
    </row>
    <row r="576" spans="10:10" x14ac:dyDescent="0.25">
      <c r="J576" s="94"/>
    </row>
    <row r="577" spans="10:10" x14ac:dyDescent="0.25">
      <c r="J577" s="94"/>
    </row>
    <row r="578" spans="10:10" x14ac:dyDescent="0.25">
      <c r="J578" s="94"/>
    </row>
    <row r="579" spans="10:10" x14ac:dyDescent="0.25">
      <c r="J579" s="94"/>
    </row>
    <row r="580" spans="10:10" x14ac:dyDescent="0.25">
      <c r="J580" s="94"/>
    </row>
    <row r="581" spans="10:10" x14ac:dyDescent="0.25">
      <c r="J581" s="94"/>
    </row>
    <row r="582" spans="10:10" x14ac:dyDescent="0.25">
      <c r="J582" s="94"/>
    </row>
    <row r="583" spans="10:10" x14ac:dyDescent="0.25">
      <c r="J583" s="94"/>
    </row>
    <row r="584" spans="10:10" x14ac:dyDescent="0.25">
      <c r="J584" s="94"/>
    </row>
    <row r="585" spans="10:10" x14ac:dyDescent="0.25">
      <c r="J585" s="94"/>
    </row>
    <row r="586" spans="10:10" x14ac:dyDescent="0.25">
      <c r="J586" s="94"/>
    </row>
    <row r="587" spans="10:10" x14ac:dyDescent="0.25">
      <c r="J587" s="94"/>
    </row>
    <row r="588" spans="10:10" x14ac:dyDescent="0.25">
      <c r="J588" s="94"/>
    </row>
    <row r="589" spans="10:10" x14ac:dyDescent="0.25">
      <c r="J589" s="94"/>
    </row>
    <row r="590" spans="10:10" x14ac:dyDescent="0.25">
      <c r="J590" s="94"/>
    </row>
    <row r="591" spans="10:10" x14ac:dyDescent="0.25">
      <c r="J591" s="94"/>
    </row>
    <row r="592" spans="10:10" x14ac:dyDescent="0.25">
      <c r="J592" s="94"/>
    </row>
    <row r="593" spans="10:10" x14ac:dyDescent="0.25">
      <c r="J593" s="94"/>
    </row>
    <row r="594" spans="10:10" x14ac:dyDescent="0.25">
      <c r="J594" s="94"/>
    </row>
    <row r="595" spans="10:10" x14ac:dyDescent="0.25">
      <c r="J595" s="94"/>
    </row>
    <row r="596" spans="10:10" x14ac:dyDescent="0.25">
      <c r="J596" s="94"/>
    </row>
    <row r="597" spans="10:10" x14ac:dyDescent="0.25">
      <c r="J597" s="94"/>
    </row>
    <row r="598" spans="10:10" x14ac:dyDescent="0.25">
      <c r="J598" s="94"/>
    </row>
    <row r="599" spans="10:10" x14ac:dyDescent="0.25">
      <c r="J599" s="94"/>
    </row>
    <row r="600" spans="10:10" x14ac:dyDescent="0.25">
      <c r="J600" s="94"/>
    </row>
    <row r="601" spans="10:10" x14ac:dyDescent="0.25">
      <c r="J601" s="94"/>
    </row>
    <row r="602" spans="10:10" x14ac:dyDescent="0.25">
      <c r="J602" s="94"/>
    </row>
    <row r="603" spans="10:10" x14ac:dyDescent="0.25">
      <c r="J603" s="94"/>
    </row>
    <row r="604" spans="10:10" x14ac:dyDescent="0.25">
      <c r="J604" s="94"/>
    </row>
    <row r="605" spans="10:10" x14ac:dyDescent="0.25">
      <c r="J605" s="94"/>
    </row>
    <row r="606" spans="10:10" x14ac:dyDescent="0.25">
      <c r="J606" s="94"/>
    </row>
    <row r="607" spans="10:10" x14ac:dyDescent="0.25">
      <c r="J607" s="94"/>
    </row>
    <row r="608" spans="10:10" x14ac:dyDescent="0.25">
      <c r="J608" s="94"/>
    </row>
    <row r="609" spans="10:10" x14ac:dyDescent="0.25">
      <c r="J609" s="94"/>
    </row>
    <row r="610" spans="10:10" x14ac:dyDescent="0.25">
      <c r="J610" s="94"/>
    </row>
    <row r="611" spans="10:10" x14ac:dyDescent="0.25">
      <c r="J611" s="94"/>
    </row>
    <row r="612" spans="10:10" x14ac:dyDescent="0.25">
      <c r="J612" s="94"/>
    </row>
    <row r="613" spans="10:10" x14ac:dyDescent="0.25">
      <c r="J613" s="94"/>
    </row>
    <row r="614" spans="10:10" x14ac:dyDescent="0.25">
      <c r="J614" s="94"/>
    </row>
    <row r="615" spans="10:10" x14ac:dyDescent="0.25">
      <c r="J615" s="94"/>
    </row>
    <row r="616" spans="10:10" x14ac:dyDescent="0.25">
      <c r="J616" s="94"/>
    </row>
    <row r="617" spans="10:10" x14ac:dyDescent="0.25">
      <c r="J617" s="94"/>
    </row>
    <row r="618" spans="10:10" x14ac:dyDescent="0.25">
      <c r="J618" s="94"/>
    </row>
    <row r="619" spans="10:10" x14ac:dyDescent="0.25">
      <c r="J619" s="94"/>
    </row>
  </sheetData>
  <mergeCells count="1">
    <mergeCell ref="A1:K1"/>
  </mergeCells>
  <phoneticPr fontId="8" type="noConversion"/>
  <pageMargins left="0.7" right="0.7" top="0.75" bottom="0.75" header="0.3" footer="0.3"/>
  <pageSetup orientation="portrait" r:id="rId1"/>
  <ignoredErrors>
    <ignoredError sqref="D270 D282 M96 M200:N200 M199 D137 D57 M201 D14 D376 D409 D165 D396" formulaRange="1"/>
    <ignoredError sqref="G57:H57 E68 G147:H147 H113 G289:H289 G291:H293 G283:H284 G295:H296 G304:H307 I8 G303:H303 G165 G396 G282 G48 G158 G269 F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C1" workbookViewId="0">
      <selection activeCell="E20" sqref="E20"/>
    </sheetView>
  </sheetViews>
  <sheetFormatPr defaultColWidth="9.140625" defaultRowHeight="15" x14ac:dyDescent="0.25"/>
  <cols>
    <col min="1" max="1" width="5.85546875" style="41" customWidth="1"/>
    <col min="2" max="2" width="41.28515625" style="40" customWidth="1"/>
    <col min="3" max="3" width="32.28515625" style="83" customWidth="1"/>
    <col min="4" max="4" width="19.7109375" style="41" customWidth="1"/>
    <col min="5" max="5" width="9.140625" style="40"/>
    <col min="6" max="6" width="12" style="40" customWidth="1"/>
    <col min="7" max="7" width="9.140625" style="40"/>
    <col min="8" max="8" width="16.7109375" style="40" customWidth="1"/>
    <col min="9" max="16384" width="9.140625" style="40"/>
  </cols>
  <sheetData>
    <row r="1" spans="1:9" ht="15.75" x14ac:dyDescent="0.25">
      <c r="A1" s="419" t="s">
        <v>698</v>
      </c>
      <c r="B1" s="419"/>
      <c r="C1" s="419"/>
      <c r="D1" s="419"/>
      <c r="E1" s="419"/>
      <c r="F1" s="419"/>
      <c r="G1" s="419"/>
      <c r="H1" s="419"/>
      <c r="I1" s="419"/>
    </row>
    <row r="2" spans="1:9" s="129" customFormat="1" ht="15.75" x14ac:dyDescent="0.25">
      <c r="A2" s="417" t="s">
        <v>86</v>
      </c>
      <c r="B2" s="417" t="s">
        <v>697</v>
      </c>
      <c r="C2" s="417" t="s">
        <v>699</v>
      </c>
      <c r="D2" s="417" t="s">
        <v>702</v>
      </c>
      <c r="E2" s="414" t="s">
        <v>693</v>
      </c>
      <c r="F2" s="415"/>
      <c r="G2" s="415"/>
      <c r="H2" s="416"/>
      <c r="I2" s="202"/>
    </row>
    <row r="3" spans="1:9" s="129" customFormat="1" ht="15.75" x14ac:dyDescent="0.2">
      <c r="A3" s="418"/>
      <c r="B3" s="418"/>
      <c r="C3" s="418"/>
      <c r="D3" s="418"/>
      <c r="E3" s="203" t="s">
        <v>691</v>
      </c>
      <c r="F3" s="203" t="s">
        <v>704</v>
      </c>
      <c r="G3" s="203" t="s">
        <v>686</v>
      </c>
      <c r="H3" s="203" t="s">
        <v>690</v>
      </c>
      <c r="I3" s="203" t="s">
        <v>687</v>
      </c>
    </row>
    <row r="4" spans="1:9" ht="15.75" x14ac:dyDescent="0.25">
      <c r="A4" s="43">
        <v>1</v>
      </c>
      <c r="B4" s="207" t="s">
        <v>688</v>
      </c>
      <c r="C4" s="207" t="s">
        <v>826</v>
      </c>
      <c r="D4" s="205">
        <v>44092</v>
      </c>
      <c r="E4" s="136">
        <v>1764</v>
      </c>
      <c r="F4" s="136">
        <v>168</v>
      </c>
      <c r="G4" s="136">
        <v>700</v>
      </c>
      <c r="H4" s="136"/>
      <c r="I4" s="136">
        <f>+E4+F4+G4</f>
        <v>2632</v>
      </c>
    </row>
    <row r="5" spans="1:9" ht="15.75" x14ac:dyDescent="0.25">
      <c r="A5" s="43">
        <v>2</v>
      </c>
      <c r="B5" s="207" t="s">
        <v>689</v>
      </c>
      <c r="C5" s="207" t="s">
        <v>825</v>
      </c>
      <c r="D5" s="205">
        <v>42655</v>
      </c>
      <c r="E5" s="136">
        <v>816</v>
      </c>
      <c r="F5" s="136">
        <v>48</v>
      </c>
      <c r="G5" s="136">
        <v>300</v>
      </c>
      <c r="H5" s="136">
        <v>170</v>
      </c>
      <c r="I5" s="136">
        <f>+E5+F5+G5+H5</f>
        <v>1334</v>
      </c>
    </row>
    <row r="6" spans="1:9" ht="15.75" x14ac:dyDescent="0.25">
      <c r="A6" s="43">
        <v>3</v>
      </c>
      <c r="B6" s="207" t="s">
        <v>692</v>
      </c>
      <c r="C6" s="207" t="s">
        <v>824</v>
      </c>
      <c r="D6" s="205">
        <v>42930</v>
      </c>
      <c r="E6" s="136">
        <f>+I6-F6-H6</f>
        <v>2780</v>
      </c>
      <c r="F6" s="136">
        <v>400</v>
      </c>
      <c r="G6" s="136"/>
      <c r="H6" s="136">
        <v>200</v>
      </c>
      <c r="I6" s="136">
        <v>3380</v>
      </c>
    </row>
    <row r="7" spans="1:9" ht="15.75" x14ac:dyDescent="0.25">
      <c r="A7" s="43">
        <v>4</v>
      </c>
      <c r="B7" s="207" t="s">
        <v>694</v>
      </c>
      <c r="C7" s="207" t="s">
        <v>700</v>
      </c>
      <c r="D7" s="43"/>
      <c r="E7" s="136">
        <v>5884</v>
      </c>
      <c r="F7" s="136">
        <f>54*4</f>
        <v>216</v>
      </c>
      <c r="G7" s="136"/>
      <c r="H7" s="136"/>
      <c r="I7" s="136">
        <f>+E7+F7</f>
        <v>6100</v>
      </c>
    </row>
    <row r="8" spans="1:9" ht="15.75" x14ac:dyDescent="0.25">
      <c r="A8" s="43">
        <v>5</v>
      </c>
      <c r="B8" s="207" t="s">
        <v>696</v>
      </c>
      <c r="C8" s="207" t="s">
        <v>701</v>
      </c>
      <c r="D8" s="205">
        <v>44768</v>
      </c>
      <c r="E8" s="136">
        <v>568</v>
      </c>
      <c r="F8" s="136">
        <v>160</v>
      </c>
      <c r="G8" s="136">
        <v>744</v>
      </c>
      <c r="H8" s="136"/>
      <c r="I8" s="136">
        <f>+E8+F8+G8</f>
        <v>1472</v>
      </c>
    </row>
    <row r="9" spans="1:9" ht="15.75" x14ac:dyDescent="0.25">
      <c r="A9" s="43">
        <v>6</v>
      </c>
      <c r="B9" s="207" t="s">
        <v>703</v>
      </c>
      <c r="C9" s="207" t="s">
        <v>823</v>
      </c>
      <c r="D9" s="205">
        <v>44602</v>
      </c>
      <c r="E9" s="204"/>
      <c r="F9" s="204"/>
      <c r="G9" s="204"/>
      <c r="H9" s="204"/>
      <c r="I9" s="204"/>
    </row>
    <row r="10" spans="1:9" s="44" customFormat="1" ht="15.75" x14ac:dyDescent="0.25">
      <c r="A10" s="43">
        <v>7</v>
      </c>
      <c r="B10" s="207" t="s">
        <v>819</v>
      </c>
      <c r="C10" s="207" t="s">
        <v>820</v>
      </c>
      <c r="D10" s="205">
        <v>43543</v>
      </c>
      <c r="E10" s="204"/>
      <c r="F10" s="208"/>
      <c r="G10" s="204"/>
      <c r="H10" s="204"/>
      <c r="I10" s="204">
        <v>1100</v>
      </c>
    </row>
    <row r="11" spans="1:9" s="44" customFormat="1" ht="15.75" x14ac:dyDescent="0.25">
      <c r="A11" s="43">
        <v>8</v>
      </c>
      <c r="B11" s="204" t="s">
        <v>821</v>
      </c>
      <c r="C11" s="209" t="s">
        <v>822</v>
      </c>
      <c r="D11" s="205">
        <v>43790</v>
      </c>
      <c r="E11" s="204"/>
      <c r="F11" s="204"/>
      <c r="G11" s="204"/>
      <c r="H11" s="204"/>
      <c r="I11" s="204">
        <v>1000</v>
      </c>
    </row>
    <row r="12" spans="1:9" s="44" customFormat="1" ht="15.75" x14ac:dyDescent="0.25">
      <c r="A12" s="43"/>
      <c r="B12" s="204" t="s">
        <v>827</v>
      </c>
      <c r="C12" s="209"/>
      <c r="D12" s="43"/>
      <c r="E12" s="204"/>
      <c r="F12" s="204"/>
      <c r="G12" s="204"/>
      <c r="H12" s="204"/>
      <c r="I12" s="204">
        <v>780</v>
      </c>
    </row>
    <row r="13" spans="1:9" s="44" customFormat="1" ht="15.75" x14ac:dyDescent="0.25">
      <c r="A13" s="206"/>
      <c r="C13" s="85"/>
      <c r="D13" s="206"/>
    </row>
    <row r="14" spans="1:9" s="44" customFormat="1" ht="15.75" x14ac:dyDescent="0.25">
      <c r="A14" s="206"/>
      <c r="C14" s="85"/>
      <c r="D14" s="206"/>
    </row>
    <row r="15" spans="1:9" s="44" customFormat="1" ht="15.75" x14ac:dyDescent="0.25">
      <c r="A15" s="206"/>
      <c r="C15" s="85"/>
      <c r="D15" s="206"/>
    </row>
    <row r="16" spans="1:9" s="44" customFormat="1" ht="15.75" x14ac:dyDescent="0.25">
      <c r="A16" s="206"/>
      <c r="C16" s="85"/>
      <c r="D16" s="206"/>
    </row>
    <row r="17" spans="1:4" s="44" customFormat="1" ht="15.75" x14ac:dyDescent="0.25">
      <c r="A17" s="206"/>
      <c r="C17" s="85"/>
      <c r="D17" s="206"/>
    </row>
    <row r="18" spans="1:4" s="44" customFormat="1" ht="15.75" x14ac:dyDescent="0.25">
      <c r="A18" s="206"/>
      <c r="C18" s="85"/>
      <c r="D18" s="206"/>
    </row>
    <row r="19" spans="1:4" s="44" customFormat="1" ht="15.75" x14ac:dyDescent="0.25">
      <c r="A19" s="206"/>
      <c r="C19" s="85"/>
      <c r="D19" s="206"/>
    </row>
    <row r="20" spans="1:4" s="44" customFormat="1" ht="15.75" x14ac:dyDescent="0.25">
      <c r="A20" s="206"/>
      <c r="C20" s="85"/>
      <c r="D20" s="206"/>
    </row>
    <row r="21" spans="1:4" s="44" customFormat="1" ht="15.75" x14ac:dyDescent="0.25">
      <c r="A21" s="206"/>
      <c r="C21" s="85"/>
      <c r="D21" s="206"/>
    </row>
    <row r="22" spans="1:4" s="44" customFormat="1" ht="15.75" x14ac:dyDescent="0.25">
      <c r="A22" s="206"/>
      <c r="C22" s="85"/>
      <c r="D22" s="206"/>
    </row>
    <row r="23" spans="1:4" s="44" customFormat="1" ht="15.75" x14ac:dyDescent="0.25">
      <c r="A23" s="206"/>
      <c r="C23" s="85"/>
      <c r="D23" s="206"/>
    </row>
  </sheetData>
  <mergeCells count="6">
    <mergeCell ref="E2:H2"/>
    <mergeCell ref="C2:C3"/>
    <mergeCell ref="B2:B3"/>
    <mergeCell ref="A2:A3"/>
    <mergeCell ref="A1:I1"/>
    <mergeCell ref="D2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31"/>
  <sheetViews>
    <sheetView topLeftCell="A138" workbookViewId="0">
      <selection activeCell="D173" sqref="D173"/>
    </sheetView>
  </sheetViews>
  <sheetFormatPr defaultRowHeight="15" x14ac:dyDescent="0.25"/>
  <cols>
    <col min="7" max="7" width="28.140625" customWidth="1"/>
  </cols>
  <sheetData>
    <row r="3" spans="2:7" x14ac:dyDescent="0.25">
      <c r="B3" t="s">
        <v>583</v>
      </c>
      <c r="C3" t="s">
        <v>136</v>
      </c>
      <c r="D3">
        <v>0.25</v>
      </c>
      <c r="E3">
        <v>80</v>
      </c>
      <c r="F3">
        <v>5</v>
      </c>
      <c r="G3" t="s">
        <v>584</v>
      </c>
    </row>
    <row r="4" spans="2:7" x14ac:dyDescent="0.25">
      <c r="B4" t="s">
        <v>581</v>
      </c>
      <c r="C4" t="s">
        <v>136</v>
      </c>
      <c r="D4">
        <v>2.5099999999999998</v>
      </c>
      <c r="E4">
        <v>80</v>
      </c>
      <c r="F4">
        <v>5</v>
      </c>
      <c r="G4" t="s">
        <v>582</v>
      </c>
    </row>
    <row r="5" spans="2:7" x14ac:dyDescent="0.25">
      <c r="B5" t="s">
        <v>579</v>
      </c>
      <c r="C5" t="s">
        <v>136</v>
      </c>
      <c r="D5">
        <v>0.77</v>
      </c>
      <c r="E5">
        <v>80</v>
      </c>
      <c r="F5">
        <v>5</v>
      </c>
      <c r="G5" t="s">
        <v>580</v>
      </c>
    </row>
    <row r="6" spans="2:7" x14ac:dyDescent="0.25">
      <c r="B6" t="s">
        <v>577</v>
      </c>
      <c r="C6" t="s">
        <v>136</v>
      </c>
      <c r="D6">
        <v>0.48</v>
      </c>
      <c r="E6">
        <v>80</v>
      </c>
      <c r="F6">
        <v>5</v>
      </c>
      <c r="G6" t="s">
        <v>578</v>
      </c>
    </row>
    <row r="7" spans="2:7" x14ac:dyDescent="0.25">
      <c r="B7" t="s">
        <v>575</v>
      </c>
      <c r="C7" t="s">
        <v>136</v>
      </c>
      <c r="D7">
        <v>1.31</v>
      </c>
      <c r="E7">
        <v>80</v>
      </c>
      <c r="F7">
        <v>5</v>
      </c>
      <c r="G7" t="s">
        <v>576</v>
      </c>
    </row>
    <row r="8" spans="2:7" x14ac:dyDescent="0.25">
      <c r="B8" t="s">
        <v>573</v>
      </c>
      <c r="C8" t="s">
        <v>136</v>
      </c>
      <c r="D8">
        <v>1.61</v>
      </c>
      <c r="E8">
        <v>80</v>
      </c>
      <c r="F8">
        <v>5</v>
      </c>
      <c r="G8" t="s">
        <v>574</v>
      </c>
    </row>
    <row r="9" spans="2:7" x14ac:dyDescent="0.25">
      <c r="B9" t="s">
        <v>571</v>
      </c>
      <c r="C9" t="s">
        <v>136</v>
      </c>
      <c r="D9">
        <v>0.27</v>
      </c>
      <c r="E9">
        <v>80</v>
      </c>
      <c r="F9">
        <v>5</v>
      </c>
      <c r="G9" t="s">
        <v>572</v>
      </c>
    </row>
    <row r="10" spans="2:7" x14ac:dyDescent="0.25">
      <c r="B10" t="s">
        <v>569</v>
      </c>
      <c r="C10" t="s">
        <v>136</v>
      </c>
      <c r="D10">
        <v>0.64</v>
      </c>
      <c r="E10">
        <v>80</v>
      </c>
      <c r="F10">
        <v>5</v>
      </c>
      <c r="G10" t="s">
        <v>570</v>
      </c>
    </row>
    <row r="11" spans="2:7" x14ac:dyDescent="0.25">
      <c r="B11" t="s">
        <v>567</v>
      </c>
      <c r="C11" t="s">
        <v>136</v>
      </c>
      <c r="D11">
        <v>0.3</v>
      </c>
      <c r="E11">
        <v>80</v>
      </c>
      <c r="F11">
        <v>5</v>
      </c>
      <c r="G11" t="s">
        <v>568</v>
      </c>
    </row>
    <row r="12" spans="2:7" x14ac:dyDescent="0.25">
      <c r="B12" t="s">
        <v>565</v>
      </c>
      <c r="C12" t="s">
        <v>136</v>
      </c>
      <c r="D12">
        <v>0.85</v>
      </c>
      <c r="E12">
        <v>80</v>
      </c>
      <c r="F12">
        <v>5</v>
      </c>
      <c r="G12" t="s">
        <v>566</v>
      </c>
    </row>
    <row r="13" spans="2:7" x14ac:dyDescent="0.25">
      <c r="B13" t="s">
        <v>563</v>
      </c>
      <c r="C13" t="s">
        <v>136</v>
      </c>
      <c r="D13">
        <v>6.14</v>
      </c>
      <c r="E13">
        <v>80</v>
      </c>
      <c r="F13">
        <v>5</v>
      </c>
      <c r="G13" t="s">
        <v>564</v>
      </c>
    </row>
    <row r="14" spans="2:7" x14ac:dyDescent="0.25">
      <c r="B14" t="s">
        <v>561</v>
      </c>
      <c r="C14" t="s">
        <v>136</v>
      </c>
      <c r="D14">
        <v>0.4</v>
      </c>
      <c r="E14">
        <v>80</v>
      </c>
      <c r="F14">
        <v>5</v>
      </c>
      <c r="G14" t="s">
        <v>562</v>
      </c>
    </row>
    <row r="15" spans="2:7" x14ac:dyDescent="0.25">
      <c r="B15" t="s">
        <v>559</v>
      </c>
      <c r="C15" t="s">
        <v>136</v>
      </c>
      <c r="D15">
        <v>0.3</v>
      </c>
      <c r="E15">
        <v>80</v>
      </c>
      <c r="F15">
        <v>5</v>
      </c>
      <c r="G15" t="s">
        <v>560</v>
      </c>
    </row>
    <row r="16" spans="2:7" x14ac:dyDescent="0.25">
      <c r="B16" t="s">
        <v>557</v>
      </c>
      <c r="C16" t="s">
        <v>136</v>
      </c>
      <c r="D16">
        <v>0.84</v>
      </c>
      <c r="E16">
        <v>80</v>
      </c>
      <c r="F16">
        <v>5</v>
      </c>
      <c r="G16" t="s">
        <v>558</v>
      </c>
    </row>
    <row r="17" spans="2:7" x14ac:dyDescent="0.25">
      <c r="B17" t="s">
        <v>555</v>
      </c>
      <c r="C17" t="s">
        <v>136</v>
      </c>
      <c r="D17">
        <v>2.13</v>
      </c>
      <c r="E17">
        <v>80</v>
      </c>
      <c r="F17">
        <v>5</v>
      </c>
      <c r="G17" t="s">
        <v>556</v>
      </c>
    </row>
    <row r="18" spans="2:7" x14ac:dyDescent="0.25">
      <c r="B18" t="s">
        <v>553</v>
      </c>
      <c r="C18" t="s">
        <v>136</v>
      </c>
      <c r="D18">
        <v>0.4</v>
      </c>
      <c r="E18">
        <v>80</v>
      </c>
      <c r="F18">
        <v>5</v>
      </c>
      <c r="G18" t="s">
        <v>554</v>
      </c>
    </row>
    <row r="19" spans="2:7" x14ac:dyDescent="0.25">
      <c r="B19" t="s">
        <v>551</v>
      </c>
      <c r="C19" t="s">
        <v>136</v>
      </c>
      <c r="D19">
        <v>0.52</v>
      </c>
      <c r="E19">
        <v>80</v>
      </c>
      <c r="F19">
        <v>5</v>
      </c>
      <c r="G19" t="s">
        <v>552</v>
      </c>
    </row>
    <row r="20" spans="2:7" x14ac:dyDescent="0.25">
      <c r="B20" t="s">
        <v>549</v>
      </c>
      <c r="C20" t="s">
        <v>136</v>
      </c>
      <c r="D20">
        <v>1.1599999999999999</v>
      </c>
      <c r="E20">
        <v>80</v>
      </c>
      <c r="F20">
        <v>5</v>
      </c>
      <c r="G20" t="s">
        <v>550</v>
      </c>
    </row>
    <row r="21" spans="2:7" x14ac:dyDescent="0.25">
      <c r="B21" t="s">
        <v>547</v>
      </c>
      <c r="C21" t="s">
        <v>136</v>
      </c>
      <c r="D21">
        <v>4.87</v>
      </c>
      <c r="E21">
        <v>80</v>
      </c>
      <c r="F21">
        <v>5</v>
      </c>
      <c r="G21" t="s">
        <v>548</v>
      </c>
    </row>
    <row r="22" spans="2:7" x14ac:dyDescent="0.25">
      <c r="B22" t="s">
        <v>545</v>
      </c>
      <c r="C22" t="s">
        <v>136</v>
      </c>
      <c r="D22">
        <v>6.63</v>
      </c>
      <c r="E22">
        <v>80</v>
      </c>
      <c r="F22">
        <v>5</v>
      </c>
      <c r="G22" t="s">
        <v>546</v>
      </c>
    </row>
    <row r="23" spans="2:7" x14ac:dyDescent="0.25">
      <c r="B23" t="s">
        <v>543</v>
      </c>
      <c r="C23" t="s">
        <v>136</v>
      </c>
      <c r="D23">
        <v>2.0699999999999998</v>
      </c>
      <c r="E23">
        <v>80</v>
      </c>
      <c r="F23">
        <v>5</v>
      </c>
      <c r="G23" t="s">
        <v>544</v>
      </c>
    </row>
    <row r="24" spans="2:7" x14ac:dyDescent="0.25">
      <c r="B24" t="s">
        <v>541</v>
      </c>
      <c r="C24" t="s">
        <v>136</v>
      </c>
      <c r="D24">
        <v>2.4900000000000002</v>
      </c>
      <c r="E24">
        <v>80</v>
      </c>
      <c r="F24">
        <v>5</v>
      </c>
      <c r="G24" t="s">
        <v>542</v>
      </c>
    </row>
    <row r="25" spans="2:7" x14ac:dyDescent="0.25">
      <c r="B25" t="s">
        <v>539</v>
      </c>
      <c r="C25" t="s">
        <v>136</v>
      </c>
      <c r="D25">
        <v>11.11</v>
      </c>
      <c r="E25">
        <v>80</v>
      </c>
      <c r="F25">
        <v>5</v>
      </c>
      <c r="G25" t="s">
        <v>540</v>
      </c>
    </row>
    <row r="26" spans="2:7" x14ac:dyDescent="0.25">
      <c r="B26" t="s">
        <v>537</v>
      </c>
      <c r="C26" t="s">
        <v>136</v>
      </c>
      <c r="D26">
        <v>0.84</v>
      </c>
      <c r="E26">
        <v>80</v>
      </c>
      <c r="F26">
        <v>5</v>
      </c>
      <c r="G26" t="s">
        <v>538</v>
      </c>
    </row>
    <row r="27" spans="2:7" x14ac:dyDescent="0.25">
      <c r="B27" t="s">
        <v>535</v>
      </c>
      <c r="C27" t="s">
        <v>136</v>
      </c>
      <c r="D27">
        <v>7.87</v>
      </c>
      <c r="E27">
        <v>80</v>
      </c>
      <c r="F27">
        <v>5</v>
      </c>
      <c r="G27" t="s">
        <v>536</v>
      </c>
    </row>
    <row r="28" spans="2:7" x14ac:dyDescent="0.25">
      <c r="B28" t="s">
        <v>533</v>
      </c>
      <c r="C28" t="s">
        <v>136</v>
      </c>
      <c r="D28">
        <v>0.36</v>
      </c>
      <c r="E28">
        <v>80</v>
      </c>
      <c r="F28">
        <v>5</v>
      </c>
      <c r="G28" t="s">
        <v>534</v>
      </c>
    </row>
    <row r="29" spans="2:7" x14ac:dyDescent="0.25">
      <c r="B29" t="s">
        <v>531</v>
      </c>
      <c r="C29" t="s">
        <v>136</v>
      </c>
      <c r="D29">
        <v>0.21</v>
      </c>
      <c r="E29">
        <v>80</v>
      </c>
      <c r="F29">
        <v>5</v>
      </c>
      <c r="G29" t="s">
        <v>532</v>
      </c>
    </row>
    <row r="30" spans="2:7" x14ac:dyDescent="0.25">
      <c r="B30" t="s">
        <v>529</v>
      </c>
      <c r="C30" t="s">
        <v>136</v>
      </c>
      <c r="D30">
        <v>1.05</v>
      </c>
      <c r="E30">
        <v>80</v>
      </c>
      <c r="F30">
        <v>5</v>
      </c>
      <c r="G30" t="s">
        <v>530</v>
      </c>
    </row>
    <row r="31" spans="2:7" x14ac:dyDescent="0.25">
      <c r="B31" t="s">
        <v>527</v>
      </c>
      <c r="C31" t="s">
        <v>136</v>
      </c>
      <c r="D31">
        <v>0.5</v>
      </c>
      <c r="E31">
        <v>80</v>
      </c>
      <c r="F31">
        <v>5</v>
      </c>
      <c r="G31" t="s">
        <v>528</v>
      </c>
    </row>
    <row r="32" spans="2:7" x14ac:dyDescent="0.25">
      <c r="B32" t="s">
        <v>525</v>
      </c>
      <c r="C32" t="s">
        <v>136</v>
      </c>
      <c r="D32">
        <v>1.44</v>
      </c>
      <c r="E32">
        <v>80</v>
      </c>
      <c r="F32">
        <v>5</v>
      </c>
      <c r="G32" t="s">
        <v>526</v>
      </c>
    </row>
    <row r="33" spans="2:7" x14ac:dyDescent="0.25">
      <c r="B33" t="s">
        <v>523</v>
      </c>
      <c r="C33" t="s">
        <v>136</v>
      </c>
      <c r="D33">
        <v>1.46</v>
      </c>
      <c r="E33">
        <v>80</v>
      </c>
      <c r="F33">
        <v>5</v>
      </c>
      <c r="G33" t="s">
        <v>524</v>
      </c>
    </row>
    <row r="34" spans="2:7" x14ac:dyDescent="0.25">
      <c r="B34" t="s">
        <v>521</v>
      </c>
      <c r="C34" t="s">
        <v>136</v>
      </c>
      <c r="D34">
        <v>6.66</v>
      </c>
      <c r="E34">
        <v>80</v>
      </c>
      <c r="F34">
        <v>5</v>
      </c>
      <c r="G34" t="s">
        <v>522</v>
      </c>
    </row>
    <row r="35" spans="2:7" x14ac:dyDescent="0.25">
      <c r="B35" t="s">
        <v>519</v>
      </c>
      <c r="C35" t="s">
        <v>136</v>
      </c>
      <c r="D35">
        <v>0.5</v>
      </c>
      <c r="E35">
        <v>80</v>
      </c>
      <c r="F35">
        <v>5</v>
      </c>
      <c r="G35" t="s">
        <v>520</v>
      </c>
    </row>
    <row r="36" spans="2:7" x14ac:dyDescent="0.25">
      <c r="B36" t="s">
        <v>517</v>
      </c>
      <c r="C36" t="s">
        <v>136</v>
      </c>
      <c r="D36">
        <v>1.35</v>
      </c>
      <c r="E36">
        <v>80</v>
      </c>
      <c r="F36">
        <v>5</v>
      </c>
      <c r="G36" t="s">
        <v>518</v>
      </c>
    </row>
    <row r="37" spans="2:7" x14ac:dyDescent="0.25">
      <c r="B37" t="s">
        <v>515</v>
      </c>
      <c r="C37" t="s">
        <v>136</v>
      </c>
      <c r="D37">
        <v>0.34</v>
      </c>
      <c r="E37">
        <v>80</v>
      </c>
      <c r="F37">
        <v>5</v>
      </c>
      <c r="G37" t="s">
        <v>516</v>
      </c>
    </row>
    <row r="38" spans="2:7" x14ac:dyDescent="0.25">
      <c r="B38" t="s">
        <v>513</v>
      </c>
      <c r="C38" t="s">
        <v>136</v>
      </c>
      <c r="D38">
        <v>0.59</v>
      </c>
      <c r="E38">
        <v>80</v>
      </c>
      <c r="F38">
        <v>5</v>
      </c>
      <c r="G38" t="s">
        <v>514</v>
      </c>
    </row>
    <row r="39" spans="2:7" x14ac:dyDescent="0.25">
      <c r="B39" t="s">
        <v>511</v>
      </c>
      <c r="C39" t="s">
        <v>136</v>
      </c>
      <c r="D39">
        <v>0.39</v>
      </c>
      <c r="E39">
        <v>80</v>
      </c>
      <c r="F39">
        <v>5</v>
      </c>
      <c r="G39" t="s">
        <v>512</v>
      </c>
    </row>
    <row r="40" spans="2:7" x14ac:dyDescent="0.25">
      <c r="B40" t="s">
        <v>509</v>
      </c>
      <c r="C40" t="s">
        <v>136</v>
      </c>
      <c r="D40">
        <v>4.5</v>
      </c>
      <c r="E40">
        <v>80</v>
      </c>
      <c r="F40">
        <v>5</v>
      </c>
      <c r="G40" t="s">
        <v>510</v>
      </c>
    </row>
    <row r="41" spans="2:7" x14ac:dyDescent="0.25">
      <c r="B41" t="s">
        <v>507</v>
      </c>
      <c r="C41" t="s">
        <v>136</v>
      </c>
      <c r="D41">
        <v>2.56</v>
      </c>
      <c r="E41">
        <v>80</v>
      </c>
      <c r="F41">
        <v>5</v>
      </c>
      <c r="G41" t="s">
        <v>508</v>
      </c>
    </row>
    <row r="42" spans="2:7" x14ac:dyDescent="0.25">
      <c r="B42" t="s">
        <v>505</v>
      </c>
      <c r="C42" t="s">
        <v>136</v>
      </c>
      <c r="D42">
        <v>2.27</v>
      </c>
      <c r="E42">
        <v>80</v>
      </c>
      <c r="F42">
        <v>5</v>
      </c>
      <c r="G42" t="s">
        <v>506</v>
      </c>
    </row>
    <row r="43" spans="2:7" x14ac:dyDescent="0.25">
      <c r="B43" t="s">
        <v>503</v>
      </c>
      <c r="C43" t="s">
        <v>136</v>
      </c>
      <c r="D43">
        <v>1.64</v>
      </c>
      <c r="E43">
        <v>80</v>
      </c>
      <c r="F43">
        <v>5</v>
      </c>
      <c r="G43" t="s">
        <v>504</v>
      </c>
    </row>
    <row r="44" spans="2:7" x14ac:dyDescent="0.25">
      <c r="B44" t="s">
        <v>501</v>
      </c>
      <c r="C44" t="s">
        <v>136</v>
      </c>
      <c r="D44">
        <v>3.62</v>
      </c>
      <c r="E44">
        <v>80</v>
      </c>
      <c r="F44">
        <v>5</v>
      </c>
      <c r="G44" t="s">
        <v>502</v>
      </c>
    </row>
    <row r="45" spans="2:7" x14ac:dyDescent="0.25">
      <c r="B45" t="s">
        <v>499</v>
      </c>
      <c r="C45" t="s">
        <v>136</v>
      </c>
      <c r="D45">
        <v>0.15</v>
      </c>
      <c r="E45">
        <v>80</v>
      </c>
      <c r="F45">
        <v>5</v>
      </c>
      <c r="G45" t="s">
        <v>500</v>
      </c>
    </row>
    <row r="46" spans="2:7" x14ac:dyDescent="0.25">
      <c r="B46" t="s">
        <v>497</v>
      </c>
      <c r="C46" t="s">
        <v>136</v>
      </c>
      <c r="D46">
        <v>0.41</v>
      </c>
      <c r="E46">
        <v>80</v>
      </c>
      <c r="F46">
        <v>5</v>
      </c>
      <c r="G46" t="s">
        <v>498</v>
      </c>
    </row>
    <row r="47" spans="2:7" x14ac:dyDescent="0.25">
      <c r="B47" t="s">
        <v>495</v>
      </c>
      <c r="C47" t="s">
        <v>136</v>
      </c>
      <c r="D47">
        <v>0.19</v>
      </c>
      <c r="E47">
        <v>80</v>
      </c>
      <c r="F47">
        <v>5</v>
      </c>
      <c r="G47" t="s">
        <v>496</v>
      </c>
    </row>
    <row r="48" spans="2:7" x14ac:dyDescent="0.25">
      <c r="B48" t="s">
        <v>493</v>
      </c>
      <c r="C48" t="s">
        <v>136</v>
      </c>
      <c r="D48">
        <v>1.27</v>
      </c>
      <c r="E48">
        <v>80</v>
      </c>
      <c r="F48">
        <v>5</v>
      </c>
      <c r="G48" t="s">
        <v>494</v>
      </c>
    </row>
    <row r="49" spans="2:7" x14ac:dyDescent="0.25">
      <c r="B49" t="s">
        <v>491</v>
      </c>
      <c r="C49" t="s">
        <v>136</v>
      </c>
      <c r="D49">
        <v>11.87</v>
      </c>
      <c r="E49">
        <v>80</v>
      </c>
      <c r="F49">
        <v>5</v>
      </c>
      <c r="G49" t="s">
        <v>492</v>
      </c>
    </row>
    <row r="50" spans="2:7" x14ac:dyDescent="0.25">
      <c r="B50" t="s">
        <v>489</v>
      </c>
      <c r="C50" t="s">
        <v>136</v>
      </c>
      <c r="D50">
        <v>2.39</v>
      </c>
      <c r="E50">
        <v>80</v>
      </c>
      <c r="F50">
        <v>5</v>
      </c>
      <c r="G50" t="s">
        <v>490</v>
      </c>
    </row>
    <row r="51" spans="2:7" x14ac:dyDescent="0.25">
      <c r="B51" t="s">
        <v>487</v>
      </c>
      <c r="C51" t="s">
        <v>136</v>
      </c>
      <c r="D51">
        <v>8.25</v>
      </c>
      <c r="E51">
        <v>80</v>
      </c>
      <c r="F51">
        <v>5</v>
      </c>
      <c r="G51" t="s">
        <v>488</v>
      </c>
    </row>
    <row r="52" spans="2:7" x14ac:dyDescent="0.25">
      <c r="B52" t="s">
        <v>485</v>
      </c>
      <c r="C52" t="s">
        <v>136</v>
      </c>
      <c r="D52">
        <v>7.94</v>
      </c>
      <c r="E52">
        <v>80</v>
      </c>
      <c r="F52">
        <v>5</v>
      </c>
      <c r="G52" t="s">
        <v>486</v>
      </c>
    </row>
    <row r="53" spans="2:7" x14ac:dyDescent="0.25">
      <c r="B53" t="s">
        <v>483</v>
      </c>
      <c r="C53" t="s">
        <v>136</v>
      </c>
      <c r="D53">
        <v>5.0999999999999996</v>
      </c>
      <c r="E53">
        <v>80</v>
      </c>
      <c r="F53">
        <v>5</v>
      </c>
      <c r="G53" t="s">
        <v>484</v>
      </c>
    </row>
    <row r="54" spans="2:7" x14ac:dyDescent="0.25">
      <c r="B54" t="s">
        <v>481</v>
      </c>
      <c r="C54" t="s">
        <v>136</v>
      </c>
      <c r="D54">
        <v>3.94</v>
      </c>
      <c r="E54">
        <v>80</v>
      </c>
      <c r="F54">
        <v>5</v>
      </c>
      <c r="G54" t="s">
        <v>482</v>
      </c>
    </row>
    <row r="55" spans="2:7" x14ac:dyDescent="0.25">
      <c r="B55" t="s">
        <v>479</v>
      </c>
      <c r="C55" t="s">
        <v>136</v>
      </c>
      <c r="D55">
        <v>1.62</v>
      </c>
      <c r="E55">
        <v>80</v>
      </c>
      <c r="F55">
        <v>5</v>
      </c>
      <c r="G55" t="s">
        <v>480</v>
      </c>
    </row>
    <row r="56" spans="2:7" x14ac:dyDescent="0.25">
      <c r="B56" t="s">
        <v>477</v>
      </c>
      <c r="C56" t="s">
        <v>136</v>
      </c>
      <c r="D56">
        <v>0.55000000000000004</v>
      </c>
      <c r="E56">
        <v>80</v>
      </c>
      <c r="F56">
        <v>5</v>
      </c>
      <c r="G56" t="s">
        <v>478</v>
      </c>
    </row>
    <row r="57" spans="2:7" x14ac:dyDescent="0.25">
      <c r="B57" t="s">
        <v>475</v>
      </c>
      <c r="C57" t="s">
        <v>136</v>
      </c>
      <c r="D57">
        <v>0.18</v>
      </c>
      <c r="E57">
        <v>80</v>
      </c>
      <c r="F57">
        <v>5</v>
      </c>
      <c r="G57" t="s">
        <v>476</v>
      </c>
    </row>
    <row r="58" spans="2:7" x14ac:dyDescent="0.25">
      <c r="B58" t="s">
        <v>473</v>
      </c>
      <c r="C58" t="s">
        <v>136</v>
      </c>
      <c r="D58">
        <v>0.5</v>
      </c>
      <c r="E58">
        <v>80</v>
      </c>
      <c r="F58">
        <v>5</v>
      </c>
      <c r="G58" t="s">
        <v>474</v>
      </c>
    </row>
    <row r="59" spans="2:7" x14ac:dyDescent="0.25">
      <c r="B59" t="s">
        <v>471</v>
      </c>
      <c r="C59" t="s">
        <v>136</v>
      </c>
      <c r="D59">
        <v>1.93</v>
      </c>
      <c r="E59">
        <v>80</v>
      </c>
      <c r="F59">
        <v>5</v>
      </c>
      <c r="G59" t="s">
        <v>472</v>
      </c>
    </row>
    <row r="60" spans="2:7" x14ac:dyDescent="0.25">
      <c r="B60" t="s">
        <v>469</v>
      </c>
      <c r="C60" t="s">
        <v>136</v>
      </c>
      <c r="D60">
        <v>0.86</v>
      </c>
      <c r="E60">
        <v>80</v>
      </c>
      <c r="F60">
        <v>5</v>
      </c>
      <c r="G60" t="s">
        <v>470</v>
      </c>
    </row>
    <row r="61" spans="2:7" x14ac:dyDescent="0.25">
      <c r="B61" t="s">
        <v>467</v>
      </c>
      <c r="C61" t="s">
        <v>136</v>
      </c>
      <c r="D61">
        <v>1.59</v>
      </c>
      <c r="E61">
        <v>80</v>
      </c>
      <c r="F61">
        <v>5</v>
      </c>
      <c r="G61" t="s">
        <v>468</v>
      </c>
    </row>
    <row r="62" spans="2:7" x14ac:dyDescent="0.25">
      <c r="B62" t="s">
        <v>465</v>
      </c>
      <c r="C62" t="s">
        <v>136</v>
      </c>
      <c r="D62">
        <v>1.31</v>
      </c>
      <c r="E62">
        <v>80</v>
      </c>
      <c r="F62">
        <v>5</v>
      </c>
      <c r="G62" t="s">
        <v>466</v>
      </c>
    </row>
    <row r="63" spans="2:7" x14ac:dyDescent="0.25">
      <c r="B63" t="s">
        <v>463</v>
      </c>
      <c r="C63" t="s">
        <v>136</v>
      </c>
      <c r="D63">
        <v>1.53</v>
      </c>
      <c r="E63">
        <v>80</v>
      </c>
      <c r="F63">
        <v>5</v>
      </c>
      <c r="G63" t="s">
        <v>464</v>
      </c>
    </row>
    <row r="64" spans="2:7" x14ac:dyDescent="0.25">
      <c r="B64" t="s">
        <v>461</v>
      </c>
      <c r="C64" t="s">
        <v>136</v>
      </c>
      <c r="D64">
        <v>0.59</v>
      </c>
      <c r="E64">
        <v>80</v>
      </c>
      <c r="F64">
        <v>5</v>
      </c>
      <c r="G64" t="s">
        <v>462</v>
      </c>
    </row>
    <row r="65" spans="2:7" x14ac:dyDescent="0.25">
      <c r="B65" t="s">
        <v>459</v>
      </c>
      <c r="C65" t="s">
        <v>136</v>
      </c>
      <c r="D65">
        <v>2.65</v>
      </c>
      <c r="E65">
        <v>80</v>
      </c>
      <c r="F65">
        <v>5</v>
      </c>
      <c r="G65" t="s">
        <v>460</v>
      </c>
    </row>
    <row r="66" spans="2:7" x14ac:dyDescent="0.25">
      <c r="B66" t="s">
        <v>457</v>
      </c>
      <c r="C66" t="s">
        <v>136</v>
      </c>
      <c r="D66">
        <v>0.26</v>
      </c>
      <c r="E66">
        <v>80</v>
      </c>
      <c r="F66">
        <v>5</v>
      </c>
      <c r="G66" t="s">
        <v>458</v>
      </c>
    </row>
    <row r="67" spans="2:7" x14ac:dyDescent="0.25">
      <c r="B67" t="s">
        <v>455</v>
      </c>
      <c r="C67" t="s">
        <v>136</v>
      </c>
      <c r="D67">
        <v>4.8099999999999996</v>
      </c>
      <c r="E67">
        <v>80</v>
      </c>
      <c r="F67">
        <v>5</v>
      </c>
      <c r="G67" t="s">
        <v>456</v>
      </c>
    </row>
    <row r="68" spans="2:7" x14ac:dyDescent="0.25">
      <c r="B68" t="s">
        <v>453</v>
      </c>
      <c r="C68" t="s">
        <v>136</v>
      </c>
      <c r="D68">
        <v>5.33</v>
      </c>
      <c r="E68">
        <v>80</v>
      </c>
      <c r="F68">
        <v>5</v>
      </c>
      <c r="G68" t="s">
        <v>454</v>
      </c>
    </row>
    <row r="69" spans="2:7" x14ac:dyDescent="0.25">
      <c r="B69" t="s">
        <v>451</v>
      </c>
      <c r="C69" t="s">
        <v>136</v>
      </c>
      <c r="D69">
        <v>4.3899999999999997</v>
      </c>
      <c r="E69">
        <v>80</v>
      </c>
      <c r="F69">
        <v>5</v>
      </c>
      <c r="G69" t="s">
        <v>452</v>
      </c>
    </row>
    <row r="70" spans="2:7" x14ac:dyDescent="0.25">
      <c r="B70" t="s">
        <v>449</v>
      </c>
      <c r="C70" t="s">
        <v>136</v>
      </c>
      <c r="D70">
        <v>3.33</v>
      </c>
      <c r="E70">
        <v>80</v>
      </c>
      <c r="F70">
        <v>5</v>
      </c>
      <c r="G70" t="s">
        <v>450</v>
      </c>
    </row>
    <row r="71" spans="2:7" x14ac:dyDescent="0.25">
      <c r="B71" t="s">
        <v>447</v>
      </c>
      <c r="C71" t="s">
        <v>136</v>
      </c>
      <c r="D71">
        <v>1.28</v>
      </c>
      <c r="E71">
        <v>80</v>
      </c>
      <c r="F71">
        <v>5</v>
      </c>
      <c r="G71" t="s">
        <v>448</v>
      </c>
    </row>
    <row r="72" spans="2:7" x14ac:dyDescent="0.25">
      <c r="B72" t="s">
        <v>445</v>
      </c>
      <c r="C72" t="s">
        <v>136</v>
      </c>
      <c r="D72">
        <v>1.43</v>
      </c>
      <c r="E72">
        <v>80</v>
      </c>
      <c r="F72">
        <v>5</v>
      </c>
      <c r="G72" t="s">
        <v>586</v>
      </c>
    </row>
    <row r="73" spans="2:7" x14ac:dyDescent="0.25">
      <c r="B73" t="s">
        <v>443</v>
      </c>
      <c r="C73" t="s">
        <v>136</v>
      </c>
      <c r="D73">
        <v>3.1</v>
      </c>
      <c r="E73">
        <v>80</v>
      </c>
      <c r="F73">
        <v>5</v>
      </c>
      <c r="G73" t="s">
        <v>444</v>
      </c>
    </row>
    <row r="74" spans="2:7" x14ac:dyDescent="0.25">
      <c r="B74" t="s">
        <v>441</v>
      </c>
      <c r="C74" t="s">
        <v>136</v>
      </c>
      <c r="D74">
        <v>2.12</v>
      </c>
      <c r="E74">
        <v>80</v>
      </c>
      <c r="F74">
        <v>5</v>
      </c>
      <c r="G74" t="s">
        <v>587</v>
      </c>
    </row>
    <row r="75" spans="2:7" x14ac:dyDescent="0.25">
      <c r="B75" t="s">
        <v>439</v>
      </c>
      <c r="C75" t="s">
        <v>136</v>
      </c>
      <c r="D75">
        <v>2.13</v>
      </c>
      <c r="E75">
        <v>80</v>
      </c>
      <c r="F75">
        <v>5</v>
      </c>
      <c r="G75" t="s">
        <v>588</v>
      </c>
    </row>
    <row r="76" spans="2:7" x14ac:dyDescent="0.25">
      <c r="B76" t="s">
        <v>437</v>
      </c>
      <c r="C76" t="s">
        <v>136</v>
      </c>
      <c r="D76">
        <v>3.23</v>
      </c>
      <c r="E76">
        <v>80</v>
      </c>
      <c r="F76">
        <v>5</v>
      </c>
      <c r="G76" t="s">
        <v>589</v>
      </c>
    </row>
    <row r="77" spans="2:7" x14ac:dyDescent="0.25">
      <c r="B77" t="s">
        <v>435</v>
      </c>
      <c r="C77" t="s">
        <v>136</v>
      </c>
      <c r="D77">
        <v>5.92</v>
      </c>
      <c r="E77">
        <v>80</v>
      </c>
      <c r="F77">
        <v>5</v>
      </c>
      <c r="G77" t="s">
        <v>590</v>
      </c>
    </row>
    <row r="78" spans="2:7" x14ac:dyDescent="0.25">
      <c r="B78" t="s">
        <v>433</v>
      </c>
      <c r="C78" t="s">
        <v>136</v>
      </c>
      <c r="D78">
        <v>1.03</v>
      </c>
      <c r="E78">
        <v>80</v>
      </c>
      <c r="F78">
        <v>5</v>
      </c>
      <c r="G78" t="s">
        <v>591</v>
      </c>
    </row>
    <row r="79" spans="2:7" x14ac:dyDescent="0.25">
      <c r="B79" t="s">
        <v>432</v>
      </c>
      <c r="C79" t="s">
        <v>136</v>
      </c>
      <c r="D79">
        <v>4.38</v>
      </c>
      <c r="E79">
        <v>80</v>
      </c>
      <c r="F79">
        <v>5</v>
      </c>
      <c r="G79" t="s">
        <v>446</v>
      </c>
    </row>
    <row r="80" spans="2:7" x14ac:dyDescent="0.25">
      <c r="B80" t="s">
        <v>431</v>
      </c>
      <c r="C80" t="s">
        <v>136</v>
      </c>
      <c r="D80">
        <v>2.37</v>
      </c>
      <c r="E80">
        <v>80</v>
      </c>
      <c r="F80">
        <v>5</v>
      </c>
      <c r="G80" t="s">
        <v>442</v>
      </c>
    </row>
    <row r="81" spans="2:7" x14ac:dyDescent="0.25">
      <c r="B81" t="s">
        <v>430</v>
      </c>
      <c r="C81" t="s">
        <v>136</v>
      </c>
      <c r="D81">
        <v>1.94</v>
      </c>
      <c r="E81">
        <v>80</v>
      </c>
      <c r="F81">
        <v>5</v>
      </c>
      <c r="G81" t="s">
        <v>440</v>
      </c>
    </row>
    <row r="82" spans="2:7" x14ac:dyDescent="0.25">
      <c r="B82" t="s">
        <v>429</v>
      </c>
      <c r="C82" t="s">
        <v>136</v>
      </c>
      <c r="D82">
        <v>1.67</v>
      </c>
      <c r="E82">
        <v>80</v>
      </c>
      <c r="F82">
        <v>5</v>
      </c>
      <c r="G82" t="s">
        <v>436</v>
      </c>
    </row>
    <row r="83" spans="2:7" x14ac:dyDescent="0.25">
      <c r="B83" t="s">
        <v>428</v>
      </c>
      <c r="C83" t="s">
        <v>136</v>
      </c>
      <c r="D83">
        <v>0.31</v>
      </c>
      <c r="E83">
        <v>80</v>
      </c>
      <c r="F83">
        <v>5</v>
      </c>
      <c r="G83" t="s">
        <v>434</v>
      </c>
    </row>
    <row r="84" spans="2:7" x14ac:dyDescent="0.25">
      <c r="B84" t="s">
        <v>427</v>
      </c>
      <c r="C84" t="s">
        <v>136</v>
      </c>
      <c r="D84">
        <v>3.52</v>
      </c>
      <c r="E84">
        <v>80</v>
      </c>
      <c r="F84">
        <v>5</v>
      </c>
      <c r="G84" t="s">
        <v>438</v>
      </c>
    </row>
    <row r="85" spans="2:7" x14ac:dyDescent="0.25">
      <c r="B85" t="s">
        <v>425</v>
      </c>
      <c r="C85" t="s">
        <v>136</v>
      </c>
      <c r="D85">
        <v>0.31</v>
      </c>
      <c r="E85">
        <v>80</v>
      </c>
      <c r="F85">
        <v>5</v>
      </c>
      <c r="G85" t="s">
        <v>426</v>
      </c>
    </row>
    <row r="86" spans="2:7" x14ac:dyDescent="0.25">
      <c r="B86" t="s">
        <v>423</v>
      </c>
      <c r="C86" t="s">
        <v>136</v>
      </c>
      <c r="D86">
        <v>3.89</v>
      </c>
      <c r="E86">
        <v>80</v>
      </c>
      <c r="F86">
        <v>5</v>
      </c>
      <c r="G86" t="s">
        <v>424</v>
      </c>
    </row>
    <row r="87" spans="2:7" x14ac:dyDescent="0.25">
      <c r="B87" t="s">
        <v>421</v>
      </c>
      <c r="C87" t="s">
        <v>136</v>
      </c>
      <c r="D87">
        <v>3.94</v>
      </c>
      <c r="E87">
        <v>80</v>
      </c>
      <c r="F87">
        <v>5</v>
      </c>
      <c r="G87" t="s">
        <v>422</v>
      </c>
    </row>
    <row r="88" spans="2:7" x14ac:dyDescent="0.25">
      <c r="B88" t="s">
        <v>419</v>
      </c>
      <c r="C88" t="s">
        <v>136</v>
      </c>
      <c r="D88">
        <v>2.14</v>
      </c>
      <c r="E88">
        <v>80</v>
      </c>
      <c r="F88">
        <v>5</v>
      </c>
      <c r="G88" t="s">
        <v>420</v>
      </c>
    </row>
    <row r="89" spans="2:7" x14ac:dyDescent="0.25">
      <c r="B89" t="s">
        <v>417</v>
      </c>
      <c r="C89" t="s">
        <v>136</v>
      </c>
      <c r="D89">
        <v>2.34</v>
      </c>
      <c r="E89">
        <v>80</v>
      </c>
      <c r="F89">
        <v>5</v>
      </c>
      <c r="G89" t="s">
        <v>418</v>
      </c>
    </row>
    <row r="90" spans="2:7" x14ac:dyDescent="0.25">
      <c r="B90" t="s">
        <v>161</v>
      </c>
      <c r="C90" t="s">
        <v>136</v>
      </c>
      <c r="D90">
        <v>7.87</v>
      </c>
      <c r="E90">
        <v>80</v>
      </c>
      <c r="F90">
        <v>5</v>
      </c>
      <c r="G90" t="s">
        <v>162</v>
      </c>
    </row>
    <row r="91" spans="2:7" x14ac:dyDescent="0.25">
      <c r="B91" t="s">
        <v>415</v>
      </c>
      <c r="C91" t="s">
        <v>136</v>
      </c>
      <c r="D91">
        <v>17.72</v>
      </c>
      <c r="E91">
        <v>80</v>
      </c>
      <c r="F91">
        <v>5</v>
      </c>
      <c r="G91" t="s">
        <v>416</v>
      </c>
    </row>
    <row r="92" spans="2:7" x14ac:dyDescent="0.25">
      <c r="B92" t="s">
        <v>413</v>
      </c>
      <c r="C92" t="s">
        <v>136</v>
      </c>
      <c r="D92">
        <v>1</v>
      </c>
      <c r="E92">
        <v>80</v>
      </c>
      <c r="F92">
        <v>5</v>
      </c>
      <c r="G92" t="s">
        <v>414</v>
      </c>
    </row>
    <row r="93" spans="2:7" x14ac:dyDescent="0.25">
      <c r="B93" t="s">
        <v>411</v>
      </c>
      <c r="C93" t="s">
        <v>136</v>
      </c>
      <c r="D93">
        <v>6.3</v>
      </c>
      <c r="E93">
        <v>80</v>
      </c>
      <c r="F93">
        <v>5</v>
      </c>
      <c r="G93" t="s">
        <v>412</v>
      </c>
    </row>
    <row r="94" spans="2:7" x14ac:dyDescent="0.25">
      <c r="B94" t="s">
        <v>409</v>
      </c>
      <c r="C94" t="s">
        <v>136</v>
      </c>
      <c r="D94">
        <v>1.64</v>
      </c>
      <c r="E94">
        <v>80</v>
      </c>
      <c r="F94">
        <v>5</v>
      </c>
      <c r="G94" t="s">
        <v>410</v>
      </c>
    </row>
    <row r="95" spans="2:7" x14ac:dyDescent="0.25">
      <c r="B95" t="s">
        <v>407</v>
      </c>
      <c r="C95" t="s">
        <v>136</v>
      </c>
      <c r="D95">
        <v>0.56999999999999995</v>
      </c>
      <c r="E95">
        <v>80</v>
      </c>
      <c r="F95">
        <v>5</v>
      </c>
      <c r="G95" t="s">
        <v>408</v>
      </c>
    </row>
    <row r="96" spans="2:7" x14ac:dyDescent="0.25">
      <c r="B96" t="s">
        <v>405</v>
      </c>
      <c r="C96" t="s">
        <v>136</v>
      </c>
      <c r="D96">
        <v>1.38</v>
      </c>
      <c r="E96">
        <v>80</v>
      </c>
      <c r="F96">
        <v>5</v>
      </c>
      <c r="G96" t="s">
        <v>406</v>
      </c>
    </row>
    <row r="97" spans="2:7" x14ac:dyDescent="0.25">
      <c r="B97" t="s">
        <v>403</v>
      </c>
      <c r="C97" t="s">
        <v>136</v>
      </c>
      <c r="D97">
        <v>0.42</v>
      </c>
      <c r="E97">
        <v>40</v>
      </c>
      <c r="F97">
        <v>10</v>
      </c>
      <c r="G97" t="s">
        <v>404</v>
      </c>
    </row>
    <row r="98" spans="2:7" x14ac:dyDescent="0.25">
      <c r="B98" t="s">
        <v>401</v>
      </c>
      <c r="C98" t="s">
        <v>136</v>
      </c>
      <c r="D98">
        <v>1.72</v>
      </c>
      <c r="E98">
        <v>40</v>
      </c>
      <c r="F98">
        <v>10</v>
      </c>
      <c r="G98" t="s">
        <v>402</v>
      </c>
    </row>
    <row r="99" spans="2:7" x14ac:dyDescent="0.25">
      <c r="B99" t="s">
        <v>399</v>
      </c>
      <c r="C99" t="s">
        <v>136</v>
      </c>
      <c r="D99">
        <v>0.22</v>
      </c>
      <c r="E99">
        <v>40</v>
      </c>
      <c r="F99">
        <v>10</v>
      </c>
      <c r="G99" t="s">
        <v>400</v>
      </c>
    </row>
    <row r="100" spans="2:7" x14ac:dyDescent="0.25">
      <c r="B100" t="s">
        <v>397</v>
      </c>
      <c r="C100" t="s">
        <v>136</v>
      </c>
      <c r="D100">
        <v>1.18</v>
      </c>
      <c r="E100">
        <v>40</v>
      </c>
      <c r="F100">
        <v>10</v>
      </c>
      <c r="G100" t="s">
        <v>398</v>
      </c>
    </row>
    <row r="101" spans="2:7" x14ac:dyDescent="0.25">
      <c r="B101" t="s">
        <v>395</v>
      </c>
      <c r="C101" t="s">
        <v>136</v>
      </c>
      <c r="D101">
        <v>1.75</v>
      </c>
      <c r="E101">
        <v>40</v>
      </c>
      <c r="F101">
        <v>10</v>
      </c>
      <c r="G101" t="s">
        <v>396</v>
      </c>
    </row>
    <row r="102" spans="2:7" x14ac:dyDescent="0.25">
      <c r="B102" t="s">
        <v>393</v>
      </c>
      <c r="C102" t="s">
        <v>136</v>
      </c>
      <c r="D102">
        <v>0.61</v>
      </c>
      <c r="E102">
        <v>40</v>
      </c>
      <c r="F102">
        <v>5</v>
      </c>
      <c r="G102" t="s">
        <v>394</v>
      </c>
    </row>
    <row r="103" spans="2:7" x14ac:dyDescent="0.25">
      <c r="B103" t="s">
        <v>391</v>
      </c>
      <c r="C103" t="s">
        <v>136</v>
      </c>
      <c r="D103">
        <v>0.15</v>
      </c>
      <c r="E103">
        <v>40</v>
      </c>
      <c r="F103">
        <v>5</v>
      </c>
      <c r="G103" t="s">
        <v>392</v>
      </c>
    </row>
    <row r="104" spans="2:7" x14ac:dyDescent="0.25">
      <c r="B104" t="s">
        <v>389</v>
      </c>
      <c r="C104" t="s">
        <v>136</v>
      </c>
      <c r="D104">
        <v>0.7</v>
      </c>
      <c r="E104">
        <v>40</v>
      </c>
      <c r="F104">
        <v>5</v>
      </c>
      <c r="G104" t="s">
        <v>390</v>
      </c>
    </row>
    <row r="105" spans="2:7" x14ac:dyDescent="0.25">
      <c r="B105" t="s">
        <v>387</v>
      </c>
      <c r="C105" t="s">
        <v>136</v>
      </c>
      <c r="D105">
        <v>0.45</v>
      </c>
      <c r="E105">
        <v>40</v>
      </c>
      <c r="F105">
        <v>5</v>
      </c>
      <c r="G105" t="s">
        <v>388</v>
      </c>
    </row>
    <row r="106" spans="2:7" x14ac:dyDescent="0.25">
      <c r="B106" t="s">
        <v>385</v>
      </c>
      <c r="C106" t="s">
        <v>136</v>
      </c>
      <c r="D106">
        <v>1.2</v>
      </c>
      <c r="E106">
        <v>40</v>
      </c>
      <c r="F106">
        <v>5</v>
      </c>
      <c r="G106" t="s">
        <v>386</v>
      </c>
    </row>
    <row r="107" spans="2:7" x14ac:dyDescent="0.25">
      <c r="B107" t="s">
        <v>383</v>
      </c>
      <c r="C107" t="s">
        <v>136</v>
      </c>
      <c r="D107">
        <v>0.39</v>
      </c>
      <c r="E107">
        <v>40</v>
      </c>
      <c r="F107">
        <v>5</v>
      </c>
      <c r="G107" t="s">
        <v>384</v>
      </c>
    </row>
    <row r="108" spans="2:7" x14ac:dyDescent="0.25">
      <c r="B108" t="s">
        <v>381</v>
      </c>
      <c r="C108" t="s">
        <v>136</v>
      </c>
      <c r="D108">
        <v>0.66</v>
      </c>
      <c r="E108">
        <v>40</v>
      </c>
      <c r="F108">
        <v>5</v>
      </c>
      <c r="G108" t="s">
        <v>382</v>
      </c>
    </row>
    <row r="109" spans="2:7" x14ac:dyDescent="0.25">
      <c r="B109" t="s">
        <v>379</v>
      </c>
      <c r="C109" t="s">
        <v>136</v>
      </c>
      <c r="D109">
        <v>34.35</v>
      </c>
      <c r="E109">
        <v>40</v>
      </c>
      <c r="F109">
        <v>5</v>
      </c>
      <c r="G109" t="s">
        <v>380</v>
      </c>
    </row>
    <row r="110" spans="2:7" x14ac:dyDescent="0.25">
      <c r="B110" t="s">
        <v>377</v>
      </c>
      <c r="C110" t="s">
        <v>136</v>
      </c>
      <c r="D110">
        <v>2.23</v>
      </c>
      <c r="E110">
        <v>40</v>
      </c>
      <c r="F110">
        <v>5</v>
      </c>
      <c r="G110" t="s">
        <v>378</v>
      </c>
    </row>
    <row r="111" spans="2:7" x14ac:dyDescent="0.25">
      <c r="B111" t="s">
        <v>375</v>
      </c>
      <c r="C111" t="s">
        <v>136</v>
      </c>
      <c r="D111">
        <v>0.68</v>
      </c>
      <c r="E111">
        <v>40</v>
      </c>
      <c r="F111">
        <v>5</v>
      </c>
      <c r="G111" t="s">
        <v>376</v>
      </c>
    </row>
    <row r="112" spans="2:7" x14ac:dyDescent="0.25">
      <c r="B112" t="s">
        <v>373</v>
      </c>
      <c r="C112" t="s">
        <v>136</v>
      </c>
      <c r="D112">
        <v>19.440000000000001</v>
      </c>
      <c r="E112">
        <v>40</v>
      </c>
      <c r="F112">
        <v>5</v>
      </c>
      <c r="G112" t="s">
        <v>374</v>
      </c>
    </row>
    <row r="113" spans="2:7" x14ac:dyDescent="0.25">
      <c r="B113" t="s">
        <v>371</v>
      </c>
      <c r="C113" t="s">
        <v>136</v>
      </c>
      <c r="D113">
        <v>0.68</v>
      </c>
      <c r="E113">
        <v>40</v>
      </c>
      <c r="F113">
        <v>5</v>
      </c>
      <c r="G113" t="s">
        <v>372</v>
      </c>
    </row>
    <row r="114" spans="2:7" x14ac:dyDescent="0.25">
      <c r="B114" t="s">
        <v>369</v>
      </c>
      <c r="C114" t="s">
        <v>136</v>
      </c>
      <c r="D114">
        <v>0.39</v>
      </c>
      <c r="E114">
        <v>70</v>
      </c>
      <c r="F114">
        <v>3</v>
      </c>
      <c r="G114" t="s">
        <v>370</v>
      </c>
    </row>
    <row r="115" spans="2:7" x14ac:dyDescent="0.25">
      <c r="B115" t="s">
        <v>367</v>
      </c>
      <c r="C115" t="s">
        <v>136</v>
      </c>
      <c r="D115">
        <v>1.02</v>
      </c>
      <c r="E115">
        <v>70</v>
      </c>
      <c r="F115">
        <v>3</v>
      </c>
      <c r="G115" t="s">
        <v>368</v>
      </c>
    </row>
    <row r="116" spans="2:7" x14ac:dyDescent="0.25">
      <c r="B116" t="s">
        <v>365</v>
      </c>
      <c r="C116" t="s">
        <v>136</v>
      </c>
      <c r="D116">
        <v>3.65</v>
      </c>
      <c r="E116">
        <v>60</v>
      </c>
      <c r="F116">
        <v>3</v>
      </c>
      <c r="G116" t="s">
        <v>366</v>
      </c>
    </row>
    <row r="117" spans="2:7" x14ac:dyDescent="0.25">
      <c r="B117" t="s">
        <v>363</v>
      </c>
      <c r="C117" t="s">
        <v>136</v>
      </c>
      <c r="D117">
        <v>4.37</v>
      </c>
      <c r="E117">
        <v>60</v>
      </c>
      <c r="F117">
        <v>3</v>
      </c>
      <c r="G117" t="s">
        <v>364</v>
      </c>
    </row>
    <row r="118" spans="2:7" x14ac:dyDescent="0.25">
      <c r="B118" t="s">
        <v>361</v>
      </c>
      <c r="C118" t="s">
        <v>136</v>
      </c>
      <c r="D118">
        <v>4.68</v>
      </c>
      <c r="E118">
        <v>60</v>
      </c>
      <c r="F118">
        <v>3</v>
      </c>
      <c r="G118" t="s">
        <v>362</v>
      </c>
    </row>
    <row r="119" spans="2:7" x14ac:dyDescent="0.25">
      <c r="B119" t="s">
        <v>359</v>
      </c>
      <c r="C119" t="s">
        <v>136</v>
      </c>
      <c r="D119">
        <v>2.59</v>
      </c>
      <c r="E119">
        <v>60</v>
      </c>
      <c r="F119">
        <v>3</v>
      </c>
      <c r="G119" t="s">
        <v>360</v>
      </c>
    </row>
    <row r="120" spans="2:7" x14ac:dyDescent="0.25">
      <c r="B120" t="s">
        <v>357</v>
      </c>
      <c r="C120" t="s">
        <v>136</v>
      </c>
      <c r="D120">
        <v>6.02</v>
      </c>
      <c r="E120">
        <v>60</v>
      </c>
      <c r="F120">
        <v>3</v>
      </c>
      <c r="G120" t="s">
        <v>358</v>
      </c>
    </row>
    <row r="121" spans="2:7" x14ac:dyDescent="0.25">
      <c r="B121" t="s">
        <v>355</v>
      </c>
      <c r="C121" t="s">
        <v>136</v>
      </c>
      <c r="D121">
        <v>4.92</v>
      </c>
      <c r="E121">
        <v>60</v>
      </c>
      <c r="F121">
        <v>3</v>
      </c>
      <c r="G121" t="s">
        <v>356</v>
      </c>
    </row>
    <row r="122" spans="2:7" x14ac:dyDescent="0.25">
      <c r="B122" t="s">
        <v>353</v>
      </c>
      <c r="C122" t="s">
        <v>136</v>
      </c>
      <c r="D122">
        <v>6.12</v>
      </c>
      <c r="E122">
        <v>60</v>
      </c>
      <c r="F122">
        <v>3</v>
      </c>
      <c r="G122" t="s">
        <v>354</v>
      </c>
    </row>
    <row r="123" spans="2:7" x14ac:dyDescent="0.25">
      <c r="B123" t="s">
        <v>351</v>
      </c>
      <c r="C123" t="s">
        <v>136</v>
      </c>
      <c r="D123">
        <v>7.37</v>
      </c>
      <c r="E123">
        <v>60</v>
      </c>
      <c r="F123">
        <v>3</v>
      </c>
      <c r="G123" t="s">
        <v>352</v>
      </c>
    </row>
    <row r="124" spans="2:7" x14ac:dyDescent="0.25">
      <c r="B124" t="s">
        <v>349</v>
      </c>
      <c r="C124" t="s">
        <v>136</v>
      </c>
      <c r="D124">
        <v>3.73</v>
      </c>
      <c r="E124">
        <v>60</v>
      </c>
      <c r="F124">
        <v>3</v>
      </c>
      <c r="G124" t="s">
        <v>350</v>
      </c>
    </row>
    <row r="125" spans="2:7" x14ac:dyDescent="0.25">
      <c r="B125" t="s">
        <v>347</v>
      </c>
      <c r="C125" t="s">
        <v>136</v>
      </c>
      <c r="D125">
        <v>3.03</v>
      </c>
      <c r="E125">
        <v>60</v>
      </c>
      <c r="F125">
        <v>3</v>
      </c>
      <c r="G125" t="s">
        <v>348</v>
      </c>
    </row>
    <row r="126" spans="2:7" x14ac:dyDescent="0.25">
      <c r="B126" t="s">
        <v>345</v>
      </c>
      <c r="C126" t="s">
        <v>136</v>
      </c>
      <c r="D126">
        <v>2.58</v>
      </c>
      <c r="E126">
        <v>40</v>
      </c>
      <c r="F126">
        <v>1</v>
      </c>
      <c r="G126" t="s">
        <v>346</v>
      </c>
    </row>
    <row r="127" spans="2:7" x14ac:dyDescent="0.25">
      <c r="B127" t="s">
        <v>343</v>
      </c>
      <c r="C127" t="s">
        <v>136</v>
      </c>
      <c r="D127">
        <v>0.24</v>
      </c>
      <c r="E127">
        <v>40</v>
      </c>
      <c r="F127">
        <v>1</v>
      </c>
      <c r="G127" t="s">
        <v>344</v>
      </c>
    </row>
    <row r="128" spans="2:7" x14ac:dyDescent="0.25">
      <c r="B128" t="s">
        <v>341</v>
      </c>
      <c r="C128" t="s">
        <v>136</v>
      </c>
      <c r="D128">
        <v>1.08</v>
      </c>
      <c r="E128">
        <v>40</v>
      </c>
      <c r="F128">
        <v>1</v>
      </c>
      <c r="G128" t="s">
        <v>342</v>
      </c>
    </row>
    <row r="129" spans="2:7" x14ac:dyDescent="0.25">
      <c r="B129" t="s">
        <v>339</v>
      </c>
      <c r="C129" t="s">
        <v>136</v>
      </c>
      <c r="D129">
        <v>1.75</v>
      </c>
      <c r="E129">
        <v>40</v>
      </c>
      <c r="F129">
        <v>1</v>
      </c>
      <c r="G129" t="s">
        <v>340</v>
      </c>
    </row>
    <row r="130" spans="2:7" x14ac:dyDescent="0.25">
      <c r="B130" t="s">
        <v>337</v>
      </c>
      <c r="C130" t="s">
        <v>136</v>
      </c>
      <c r="D130">
        <v>1.1599999999999999</v>
      </c>
      <c r="E130">
        <v>40</v>
      </c>
      <c r="F130">
        <v>1</v>
      </c>
      <c r="G130" t="s">
        <v>338</v>
      </c>
    </row>
    <row r="131" spans="2:7" x14ac:dyDescent="0.25">
      <c r="B131" t="s">
        <v>335</v>
      </c>
      <c r="C131" t="s">
        <v>136</v>
      </c>
      <c r="D131">
        <v>0.32</v>
      </c>
      <c r="E131">
        <v>40</v>
      </c>
      <c r="F131">
        <v>1</v>
      </c>
      <c r="G131" t="s">
        <v>336</v>
      </c>
    </row>
    <row r="132" spans="2:7" x14ac:dyDescent="0.25">
      <c r="B132" t="s">
        <v>333</v>
      </c>
      <c r="C132" t="s">
        <v>136</v>
      </c>
      <c r="D132">
        <v>0.24</v>
      </c>
      <c r="E132">
        <v>40</v>
      </c>
      <c r="F132">
        <v>1</v>
      </c>
      <c r="G132" t="s">
        <v>334</v>
      </c>
    </row>
    <row r="133" spans="2:7" x14ac:dyDescent="0.25">
      <c r="B133" t="s">
        <v>331</v>
      </c>
      <c r="C133" t="s">
        <v>136</v>
      </c>
      <c r="D133">
        <v>9.8800000000000008</v>
      </c>
      <c r="E133">
        <v>5</v>
      </c>
      <c r="F133">
        <v>1</v>
      </c>
      <c r="G133" t="s">
        <v>332</v>
      </c>
    </row>
    <row r="134" spans="2:7" x14ac:dyDescent="0.25">
      <c r="B134" t="s">
        <v>329</v>
      </c>
      <c r="C134" t="s">
        <v>136</v>
      </c>
      <c r="D134">
        <v>1.38</v>
      </c>
      <c r="E134">
        <v>5</v>
      </c>
      <c r="F134">
        <v>1</v>
      </c>
      <c r="G134" t="s">
        <v>330</v>
      </c>
    </row>
    <row r="135" spans="2:7" x14ac:dyDescent="0.25">
      <c r="B135" t="s">
        <v>327</v>
      </c>
      <c r="C135" t="s">
        <v>136</v>
      </c>
      <c r="D135">
        <v>4.8099999999999996</v>
      </c>
      <c r="E135">
        <v>5</v>
      </c>
      <c r="F135">
        <v>1</v>
      </c>
      <c r="G135" t="s">
        <v>328</v>
      </c>
    </row>
    <row r="136" spans="2:7" x14ac:dyDescent="0.25">
      <c r="B136" t="s">
        <v>325</v>
      </c>
      <c r="C136" t="s">
        <v>136</v>
      </c>
      <c r="D136">
        <v>3.55</v>
      </c>
      <c r="E136">
        <v>5</v>
      </c>
      <c r="F136">
        <v>1</v>
      </c>
      <c r="G136" t="s">
        <v>326</v>
      </c>
    </row>
    <row r="137" spans="2:7" x14ac:dyDescent="0.25">
      <c r="B137" t="s">
        <v>323</v>
      </c>
      <c r="C137" t="s">
        <v>136</v>
      </c>
      <c r="D137">
        <v>0.28999999999999998</v>
      </c>
      <c r="E137">
        <v>5</v>
      </c>
      <c r="F137">
        <v>1</v>
      </c>
      <c r="G137" t="s">
        <v>324</v>
      </c>
    </row>
    <row r="138" spans="2:7" x14ac:dyDescent="0.25">
      <c r="B138" t="s">
        <v>321</v>
      </c>
      <c r="C138" t="s">
        <v>136</v>
      </c>
      <c r="D138">
        <v>1.9</v>
      </c>
      <c r="E138">
        <v>5</v>
      </c>
      <c r="F138">
        <v>1</v>
      </c>
      <c r="G138" t="s">
        <v>322</v>
      </c>
    </row>
    <row r="139" spans="2:7" x14ac:dyDescent="0.25">
      <c r="B139" t="s">
        <v>319</v>
      </c>
      <c r="C139" t="s">
        <v>136</v>
      </c>
      <c r="D139">
        <v>2.29</v>
      </c>
      <c r="E139" t="s">
        <v>143</v>
      </c>
      <c r="F139" t="s">
        <v>143</v>
      </c>
      <c r="G139" t="s">
        <v>320</v>
      </c>
    </row>
    <row r="140" spans="2:7" x14ac:dyDescent="0.25">
      <c r="B140" t="s">
        <v>317</v>
      </c>
      <c r="C140" t="s">
        <v>136</v>
      </c>
      <c r="D140">
        <v>0.63</v>
      </c>
      <c r="E140" t="s">
        <v>143</v>
      </c>
      <c r="F140" t="s">
        <v>143</v>
      </c>
      <c r="G140" t="s">
        <v>318</v>
      </c>
    </row>
    <row r="141" spans="2:7" x14ac:dyDescent="0.25">
      <c r="B141" t="s">
        <v>315</v>
      </c>
      <c r="C141" t="s">
        <v>136</v>
      </c>
      <c r="D141">
        <v>3.59</v>
      </c>
      <c r="E141" t="s">
        <v>143</v>
      </c>
      <c r="F141" t="s">
        <v>143</v>
      </c>
      <c r="G141" t="s">
        <v>316</v>
      </c>
    </row>
    <row r="142" spans="2:7" x14ac:dyDescent="0.25">
      <c r="B142" t="s">
        <v>313</v>
      </c>
      <c r="C142" t="s">
        <v>136</v>
      </c>
      <c r="D142">
        <v>1.26</v>
      </c>
      <c r="E142" t="s">
        <v>143</v>
      </c>
      <c r="F142" t="s">
        <v>143</v>
      </c>
      <c r="G142" t="s">
        <v>314</v>
      </c>
    </row>
    <row r="143" spans="2:7" x14ac:dyDescent="0.25">
      <c r="B143" t="s">
        <v>311</v>
      </c>
      <c r="C143" t="s">
        <v>136</v>
      </c>
      <c r="D143">
        <v>8.35</v>
      </c>
      <c r="E143" t="s">
        <v>143</v>
      </c>
      <c r="F143" t="s">
        <v>143</v>
      </c>
      <c r="G143" t="s">
        <v>312</v>
      </c>
    </row>
    <row r="144" spans="2:7" x14ac:dyDescent="0.25">
      <c r="B144" t="s">
        <v>309</v>
      </c>
      <c r="C144" t="s">
        <v>136</v>
      </c>
      <c r="D144">
        <v>0.88</v>
      </c>
      <c r="E144" t="s">
        <v>143</v>
      </c>
      <c r="F144" t="s">
        <v>143</v>
      </c>
      <c r="G144" t="s">
        <v>310</v>
      </c>
    </row>
    <row r="145" spans="2:7" x14ac:dyDescent="0.25">
      <c r="B145" t="s">
        <v>307</v>
      </c>
      <c r="C145" t="s">
        <v>136</v>
      </c>
      <c r="D145">
        <v>3.62</v>
      </c>
      <c r="E145" t="s">
        <v>143</v>
      </c>
      <c r="F145" t="s">
        <v>143</v>
      </c>
      <c r="G145" t="s">
        <v>308</v>
      </c>
    </row>
    <row r="146" spans="2:7" x14ac:dyDescent="0.25">
      <c r="B146" t="s">
        <v>305</v>
      </c>
      <c r="C146" t="s">
        <v>136</v>
      </c>
      <c r="D146">
        <v>0.88</v>
      </c>
      <c r="E146">
        <v>40</v>
      </c>
      <c r="F146">
        <v>5</v>
      </c>
      <c r="G146" t="s">
        <v>306</v>
      </c>
    </row>
    <row r="147" spans="2:7" x14ac:dyDescent="0.25">
      <c r="B147" t="s">
        <v>303</v>
      </c>
      <c r="C147" t="s">
        <v>136</v>
      </c>
      <c r="D147">
        <v>1.04</v>
      </c>
      <c r="E147">
        <v>40</v>
      </c>
      <c r="F147">
        <v>5</v>
      </c>
      <c r="G147" t="s">
        <v>304</v>
      </c>
    </row>
    <row r="148" spans="2:7" x14ac:dyDescent="0.25">
      <c r="B148" t="s">
        <v>301</v>
      </c>
      <c r="C148" t="s">
        <v>136</v>
      </c>
      <c r="D148">
        <v>0.6</v>
      </c>
      <c r="E148">
        <v>40</v>
      </c>
      <c r="F148">
        <v>5</v>
      </c>
      <c r="G148" t="s">
        <v>302</v>
      </c>
    </row>
    <row r="149" spans="2:7" x14ac:dyDescent="0.25">
      <c r="B149" t="s">
        <v>299</v>
      </c>
      <c r="C149" t="s">
        <v>136</v>
      </c>
      <c r="D149">
        <v>0.21</v>
      </c>
      <c r="E149">
        <v>40</v>
      </c>
      <c r="F149">
        <v>5</v>
      </c>
      <c r="G149" t="s">
        <v>300</v>
      </c>
    </row>
    <row r="150" spans="2:7" x14ac:dyDescent="0.25">
      <c r="B150" t="s">
        <v>297</v>
      </c>
      <c r="C150" t="s">
        <v>136</v>
      </c>
      <c r="D150">
        <v>1.18</v>
      </c>
      <c r="E150">
        <v>40</v>
      </c>
      <c r="F150">
        <v>5</v>
      </c>
      <c r="G150" t="s">
        <v>298</v>
      </c>
    </row>
    <row r="151" spans="2:7" x14ac:dyDescent="0.25">
      <c r="B151" t="s">
        <v>295</v>
      </c>
      <c r="C151" t="s">
        <v>136</v>
      </c>
      <c r="D151">
        <v>3.44</v>
      </c>
      <c r="E151">
        <v>50</v>
      </c>
      <c r="F151">
        <v>5</v>
      </c>
      <c r="G151" t="s">
        <v>296</v>
      </c>
    </row>
    <row r="152" spans="2:7" x14ac:dyDescent="0.25">
      <c r="B152" t="s">
        <v>293</v>
      </c>
      <c r="C152" t="s">
        <v>136</v>
      </c>
      <c r="D152">
        <v>0.77</v>
      </c>
      <c r="E152">
        <v>50</v>
      </c>
      <c r="F152">
        <v>5</v>
      </c>
      <c r="G152" t="s">
        <v>294</v>
      </c>
    </row>
    <row r="153" spans="2:7" x14ac:dyDescent="0.25">
      <c r="B153" t="s">
        <v>291</v>
      </c>
      <c r="C153" t="s">
        <v>136</v>
      </c>
      <c r="D153">
        <v>1.05</v>
      </c>
      <c r="E153">
        <v>50</v>
      </c>
      <c r="F153">
        <v>5</v>
      </c>
      <c r="G153" t="s">
        <v>292</v>
      </c>
    </row>
    <row r="154" spans="2:7" x14ac:dyDescent="0.25">
      <c r="B154" t="s">
        <v>289</v>
      </c>
      <c r="C154" t="s">
        <v>136</v>
      </c>
      <c r="D154">
        <v>0.19</v>
      </c>
      <c r="E154">
        <v>50</v>
      </c>
      <c r="F154">
        <v>5</v>
      </c>
      <c r="G154" t="s">
        <v>290</v>
      </c>
    </row>
    <row r="155" spans="2:7" x14ac:dyDescent="0.25">
      <c r="B155" t="s">
        <v>287</v>
      </c>
      <c r="C155" t="s">
        <v>136</v>
      </c>
      <c r="D155">
        <v>0.67</v>
      </c>
      <c r="E155">
        <v>50</v>
      </c>
      <c r="F155">
        <v>5</v>
      </c>
      <c r="G155" t="s">
        <v>288</v>
      </c>
    </row>
    <row r="156" spans="2:7" x14ac:dyDescent="0.25">
      <c r="B156" t="s">
        <v>285</v>
      </c>
      <c r="C156" t="s">
        <v>136</v>
      </c>
      <c r="D156">
        <v>0.28999999999999998</v>
      </c>
      <c r="E156">
        <v>40</v>
      </c>
      <c r="F156">
        <v>5</v>
      </c>
      <c r="G156" t="s">
        <v>286</v>
      </c>
    </row>
    <row r="157" spans="2:7" x14ac:dyDescent="0.25">
      <c r="B157" t="s">
        <v>283</v>
      </c>
      <c r="C157" t="s">
        <v>136</v>
      </c>
      <c r="D157">
        <v>0.33</v>
      </c>
      <c r="E157">
        <v>40</v>
      </c>
      <c r="F157">
        <v>5</v>
      </c>
      <c r="G157" t="s">
        <v>284</v>
      </c>
    </row>
    <row r="158" spans="2:7" x14ac:dyDescent="0.25">
      <c r="B158" t="s">
        <v>281</v>
      </c>
      <c r="C158" t="s">
        <v>136</v>
      </c>
      <c r="D158">
        <v>4.8</v>
      </c>
      <c r="E158">
        <v>40</v>
      </c>
      <c r="F158">
        <v>5</v>
      </c>
      <c r="G158" t="s">
        <v>282</v>
      </c>
    </row>
    <row r="159" spans="2:7" x14ac:dyDescent="0.25">
      <c r="B159" t="s">
        <v>280</v>
      </c>
      <c r="C159" t="s">
        <v>136</v>
      </c>
      <c r="D159">
        <v>1.08</v>
      </c>
      <c r="E159">
        <v>40</v>
      </c>
      <c r="F159">
        <v>5</v>
      </c>
      <c r="G159" t="s">
        <v>80</v>
      </c>
    </row>
    <row r="160" spans="2:7" x14ac:dyDescent="0.25">
      <c r="B160" t="s">
        <v>279</v>
      </c>
      <c r="C160" t="s">
        <v>136</v>
      </c>
      <c r="D160">
        <v>0.94</v>
      </c>
      <c r="E160">
        <v>40</v>
      </c>
      <c r="F160">
        <v>1</v>
      </c>
      <c r="G160" t="s">
        <v>4</v>
      </c>
    </row>
    <row r="161" spans="2:7" x14ac:dyDescent="0.25">
      <c r="B161" t="s">
        <v>277</v>
      </c>
      <c r="C161" t="s">
        <v>136</v>
      </c>
      <c r="D161">
        <v>0.32</v>
      </c>
      <c r="E161">
        <v>40</v>
      </c>
      <c r="F161">
        <v>5</v>
      </c>
      <c r="G161" t="s">
        <v>278</v>
      </c>
    </row>
    <row r="162" spans="2:7" x14ac:dyDescent="0.25">
      <c r="B162" t="s">
        <v>275</v>
      </c>
      <c r="C162" t="s">
        <v>136</v>
      </c>
      <c r="D162">
        <v>0.14000000000000001</v>
      </c>
      <c r="E162">
        <v>40</v>
      </c>
      <c r="F162">
        <v>5</v>
      </c>
      <c r="G162" t="s">
        <v>276</v>
      </c>
    </row>
    <row r="163" spans="2:7" x14ac:dyDescent="0.25">
      <c r="B163" t="s">
        <v>273</v>
      </c>
      <c r="C163" t="s">
        <v>136</v>
      </c>
      <c r="D163">
        <v>0.51</v>
      </c>
      <c r="E163">
        <v>40</v>
      </c>
      <c r="F163">
        <v>5</v>
      </c>
      <c r="G163" t="s">
        <v>274</v>
      </c>
    </row>
    <row r="164" spans="2:7" x14ac:dyDescent="0.25">
      <c r="B164" t="s">
        <v>271</v>
      </c>
      <c r="C164" t="s">
        <v>136</v>
      </c>
      <c r="D164">
        <v>0.1</v>
      </c>
      <c r="E164">
        <v>40</v>
      </c>
      <c r="F164">
        <v>5</v>
      </c>
      <c r="G164" t="s">
        <v>272</v>
      </c>
    </row>
    <row r="165" spans="2:7" x14ac:dyDescent="0.25">
      <c r="B165" t="s">
        <v>269</v>
      </c>
      <c r="C165" t="s">
        <v>136</v>
      </c>
      <c r="D165">
        <v>1.91</v>
      </c>
      <c r="E165">
        <v>5</v>
      </c>
      <c r="F165">
        <v>1</v>
      </c>
      <c r="G165" t="s">
        <v>270</v>
      </c>
    </row>
    <row r="166" spans="2:7" x14ac:dyDescent="0.25">
      <c r="B166" t="s">
        <v>267</v>
      </c>
      <c r="C166" t="s">
        <v>136</v>
      </c>
      <c r="D166">
        <v>3.75</v>
      </c>
      <c r="E166">
        <v>5</v>
      </c>
      <c r="F166">
        <v>1</v>
      </c>
      <c r="G166" t="s">
        <v>268</v>
      </c>
    </row>
    <row r="167" spans="2:7" x14ac:dyDescent="0.25">
      <c r="B167" t="s">
        <v>265</v>
      </c>
      <c r="C167" t="s">
        <v>136</v>
      </c>
      <c r="D167">
        <v>0.9</v>
      </c>
      <c r="E167">
        <v>5</v>
      </c>
      <c r="F167">
        <v>1</v>
      </c>
      <c r="G167" t="s">
        <v>266</v>
      </c>
    </row>
    <row r="168" spans="2:7" x14ac:dyDescent="0.25">
      <c r="B168" t="s">
        <v>263</v>
      </c>
      <c r="C168" t="s">
        <v>136</v>
      </c>
      <c r="D168">
        <v>1.66</v>
      </c>
      <c r="E168">
        <v>5</v>
      </c>
      <c r="F168">
        <v>1</v>
      </c>
      <c r="G168" t="s">
        <v>264</v>
      </c>
    </row>
    <row r="169" spans="2:7" x14ac:dyDescent="0.25">
      <c r="B169" t="s">
        <v>261</v>
      </c>
      <c r="C169" t="s">
        <v>136</v>
      </c>
      <c r="D169">
        <v>1.1100000000000001</v>
      </c>
      <c r="E169">
        <v>5</v>
      </c>
      <c r="F169">
        <v>1</v>
      </c>
      <c r="G169" t="s">
        <v>262</v>
      </c>
    </row>
    <row r="170" spans="2:7" x14ac:dyDescent="0.25">
      <c r="B170" t="s">
        <v>259</v>
      </c>
      <c r="C170" t="s">
        <v>136</v>
      </c>
      <c r="D170">
        <v>0.62</v>
      </c>
      <c r="E170">
        <v>5</v>
      </c>
      <c r="F170">
        <v>1</v>
      </c>
      <c r="G170" t="s">
        <v>260</v>
      </c>
    </row>
    <row r="171" spans="2:7" x14ac:dyDescent="0.25">
      <c r="B171" t="s">
        <v>257</v>
      </c>
      <c r="C171" t="s">
        <v>136</v>
      </c>
      <c r="D171">
        <v>0.44</v>
      </c>
      <c r="E171">
        <v>5</v>
      </c>
      <c r="F171">
        <v>1</v>
      </c>
      <c r="G171" t="s">
        <v>258</v>
      </c>
    </row>
    <row r="172" spans="2:7" x14ac:dyDescent="0.25">
      <c r="B172" t="s">
        <v>255</v>
      </c>
      <c r="C172" t="s">
        <v>136</v>
      </c>
      <c r="D172">
        <v>0.06</v>
      </c>
      <c r="E172">
        <v>40</v>
      </c>
      <c r="F172">
        <v>5</v>
      </c>
      <c r="G172" t="s">
        <v>256</v>
      </c>
    </row>
    <row r="173" spans="2:7" x14ac:dyDescent="0.25">
      <c r="B173" t="s">
        <v>253</v>
      </c>
      <c r="C173" t="s">
        <v>136</v>
      </c>
      <c r="D173">
        <v>0.1</v>
      </c>
      <c r="E173">
        <v>5</v>
      </c>
      <c r="F173">
        <v>1</v>
      </c>
      <c r="G173" t="s">
        <v>254</v>
      </c>
    </row>
    <row r="174" spans="2:7" x14ac:dyDescent="0.25">
      <c r="B174" t="s">
        <v>251</v>
      </c>
      <c r="C174" t="s">
        <v>136</v>
      </c>
      <c r="D174">
        <v>1.04</v>
      </c>
      <c r="E174">
        <v>5</v>
      </c>
      <c r="F174">
        <v>1</v>
      </c>
      <c r="G174" t="s">
        <v>252</v>
      </c>
    </row>
    <row r="175" spans="2:7" x14ac:dyDescent="0.25">
      <c r="B175" t="s">
        <v>249</v>
      </c>
      <c r="C175" t="s">
        <v>136</v>
      </c>
      <c r="D175">
        <v>0.5</v>
      </c>
      <c r="E175">
        <v>5</v>
      </c>
      <c r="F175">
        <v>1</v>
      </c>
      <c r="G175" t="s">
        <v>250</v>
      </c>
    </row>
    <row r="176" spans="2:7" x14ac:dyDescent="0.25">
      <c r="B176" t="s">
        <v>247</v>
      </c>
      <c r="C176" t="s">
        <v>136</v>
      </c>
      <c r="D176">
        <v>1.44</v>
      </c>
      <c r="E176" t="s">
        <v>143</v>
      </c>
      <c r="F176" t="s">
        <v>143</v>
      </c>
      <c r="G176" t="s">
        <v>248</v>
      </c>
    </row>
    <row r="177" spans="2:7" x14ac:dyDescent="0.25">
      <c r="B177" t="s">
        <v>245</v>
      </c>
      <c r="C177" t="s">
        <v>136</v>
      </c>
      <c r="D177">
        <v>0.57999999999999996</v>
      </c>
      <c r="E177" t="s">
        <v>143</v>
      </c>
      <c r="F177" t="s">
        <v>143</v>
      </c>
      <c r="G177" t="s">
        <v>246</v>
      </c>
    </row>
    <row r="178" spans="2:7" x14ac:dyDescent="0.25">
      <c r="B178" t="s">
        <v>243</v>
      </c>
      <c r="C178" t="s">
        <v>136</v>
      </c>
      <c r="D178">
        <v>0.21</v>
      </c>
      <c r="E178" t="s">
        <v>143</v>
      </c>
      <c r="F178" t="s">
        <v>143</v>
      </c>
      <c r="G178" t="s">
        <v>244</v>
      </c>
    </row>
    <row r="179" spans="2:7" x14ac:dyDescent="0.25">
      <c r="B179" t="s">
        <v>241</v>
      </c>
      <c r="C179" t="s">
        <v>136</v>
      </c>
      <c r="D179">
        <v>0.66</v>
      </c>
      <c r="E179" t="s">
        <v>143</v>
      </c>
      <c r="F179" t="s">
        <v>143</v>
      </c>
      <c r="G179" t="s">
        <v>242</v>
      </c>
    </row>
    <row r="180" spans="2:7" x14ac:dyDescent="0.25">
      <c r="B180" t="s">
        <v>239</v>
      </c>
      <c r="C180" t="s">
        <v>136</v>
      </c>
      <c r="D180">
        <v>2.42</v>
      </c>
      <c r="E180" t="s">
        <v>143</v>
      </c>
      <c r="F180" t="s">
        <v>143</v>
      </c>
      <c r="G180" t="s">
        <v>240</v>
      </c>
    </row>
    <row r="181" spans="2:7" x14ac:dyDescent="0.25">
      <c r="B181" t="s">
        <v>237</v>
      </c>
      <c r="C181" t="s">
        <v>136</v>
      </c>
      <c r="D181">
        <v>2.63</v>
      </c>
      <c r="E181" t="s">
        <v>143</v>
      </c>
      <c r="F181" t="s">
        <v>143</v>
      </c>
      <c r="G181" t="s">
        <v>238</v>
      </c>
    </row>
    <row r="182" spans="2:7" x14ac:dyDescent="0.25">
      <c r="B182" t="s">
        <v>235</v>
      </c>
      <c r="C182" t="s">
        <v>136</v>
      </c>
      <c r="D182">
        <v>1.82</v>
      </c>
      <c r="E182" t="s">
        <v>143</v>
      </c>
      <c r="F182" t="s">
        <v>143</v>
      </c>
      <c r="G182" t="s">
        <v>236</v>
      </c>
    </row>
    <row r="183" spans="2:7" x14ac:dyDescent="0.25">
      <c r="B183" t="s">
        <v>233</v>
      </c>
      <c r="C183" t="s">
        <v>136</v>
      </c>
      <c r="D183">
        <v>2.31</v>
      </c>
      <c r="E183" t="s">
        <v>143</v>
      </c>
      <c r="F183" t="s">
        <v>143</v>
      </c>
      <c r="G183" t="s">
        <v>234</v>
      </c>
    </row>
    <row r="184" spans="2:7" x14ac:dyDescent="0.25">
      <c r="B184" t="s">
        <v>231</v>
      </c>
      <c r="C184" t="s">
        <v>136</v>
      </c>
      <c r="D184">
        <v>3.16</v>
      </c>
      <c r="E184" t="s">
        <v>143</v>
      </c>
      <c r="F184" t="s">
        <v>143</v>
      </c>
      <c r="G184" t="s">
        <v>232</v>
      </c>
    </row>
    <row r="185" spans="2:7" x14ac:dyDescent="0.25">
      <c r="B185" t="s">
        <v>229</v>
      </c>
      <c r="C185" t="s">
        <v>136</v>
      </c>
      <c r="D185">
        <v>3.15</v>
      </c>
      <c r="E185" t="s">
        <v>143</v>
      </c>
      <c r="F185" t="s">
        <v>143</v>
      </c>
      <c r="G185" t="s">
        <v>230</v>
      </c>
    </row>
    <row r="186" spans="2:7" x14ac:dyDescent="0.25">
      <c r="B186" t="s">
        <v>227</v>
      </c>
      <c r="C186" t="s">
        <v>136</v>
      </c>
      <c r="D186">
        <v>0.87</v>
      </c>
      <c r="E186" t="s">
        <v>143</v>
      </c>
      <c r="F186" t="s">
        <v>143</v>
      </c>
      <c r="G186" t="s">
        <v>228</v>
      </c>
    </row>
    <row r="187" spans="2:7" x14ac:dyDescent="0.25">
      <c r="B187" t="s">
        <v>225</v>
      </c>
      <c r="C187" t="s">
        <v>136</v>
      </c>
      <c r="D187">
        <v>0.16</v>
      </c>
      <c r="E187">
        <v>5</v>
      </c>
      <c r="F187">
        <v>1</v>
      </c>
      <c r="G187" t="s">
        <v>226</v>
      </c>
    </row>
    <row r="188" spans="2:7" x14ac:dyDescent="0.25">
      <c r="B188" t="s">
        <v>223</v>
      </c>
      <c r="C188" t="s">
        <v>136</v>
      </c>
      <c r="D188">
        <v>0.69</v>
      </c>
      <c r="E188" t="s">
        <v>143</v>
      </c>
      <c r="F188" t="s">
        <v>143</v>
      </c>
      <c r="G188" t="s">
        <v>224</v>
      </c>
    </row>
    <row r="189" spans="2:7" x14ac:dyDescent="0.25">
      <c r="B189" t="s">
        <v>221</v>
      </c>
      <c r="C189" t="s">
        <v>136</v>
      </c>
      <c r="D189">
        <v>0.47</v>
      </c>
      <c r="E189" t="s">
        <v>143</v>
      </c>
      <c r="F189" t="s">
        <v>143</v>
      </c>
      <c r="G189" t="s">
        <v>222</v>
      </c>
    </row>
    <row r="190" spans="2:7" x14ac:dyDescent="0.25">
      <c r="B190" t="s">
        <v>219</v>
      </c>
      <c r="C190" t="s">
        <v>136</v>
      </c>
      <c r="D190">
        <v>0.18</v>
      </c>
      <c r="E190" t="s">
        <v>143</v>
      </c>
      <c r="F190" t="s">
        <v>143</v>
      </c>
      <c r="G190" t="s">
        <v>220</v>
      </c>
    </row>
    <row r="191" spans="2:7" x14ac:dyDescent="0.25">
      <c r="B191" t="s">
        <v>217</v>
      </c>
      <c r="C191" t="s">
        <v>136</v>
      </c>
      <c r="D191">
        <v>0.17</v>
      </c>
      <c r="E191" t="s">
        <v>143</v>
      </c>
      <c r="F191" t="s">
        <v>143</v>
      </c>
      <c r="G191" t="s">
        <v>218</v>
      </c>
    </row>
    <row r="192" spans="2:7" x14ac:dyDescent="0.25">
      <c r="B192" t="s">
        <v>215</v>
      </c>
      <c r="C192" t="s">
        <v>136</v>
      </c>
      <c r="D192">
        <v>0.25</v>
      </c>
      <c r="E192" t="s">
        <v>143</v>
      </c>
      <c r="F192" t="s">
        <v>143</v>
      </c>
      <c r="G192" t="s">
        <v>216</v>
      </c>
    </row>
    <row r="193" spans="2:7" x14ac:dyDescent="0.25">
      <c r="B193" t="s">
        <v>213</v>
      </c>
      <c r="C193" t="s">
        <v>136</v>
      </c>
      <c r="D193">
        <v>0.65</v>
      </c>
      <c r="E193" t="s">
        <v>143</v>
      </c>
      <c r="F193" t="s">
        <v>143</v>
      </c>
      <c r="G193" t="s">
        <v>214</v>
      </c>
    </row>
    <row r="194" spans="2:7" x14ac:dyDescent="0.25">
      <c r="B194" t="s">
        <v>211</v>
      </c>
      <c r="C194" t="s">
        <v>136</v>
      </c>
      <c r="D194">
        <v>0.3</v>
      </c>
      <c r="E194" t="s">
        <v>143</v>
      </c>
      <c r="F194" t="s">
        <v>143</v>
      </c>
      <c r="G194" t="s">
        <v>212</v>
      </c>
    </row>
    <row r="195" spans="2:7" x14ac:dyDescent="0.25">
      <c r="B195" t="s">
        <v>209</v>
      </c>
      <c r="C195" t="s">
        <v>136</v>
      </c>
      <c r="D195">
        <v>3.05</v>
      </c>
      <c r="E195" t="s">
        <v>143</v>
      </c>
      <c r="F195" t="s">
        <v>143</v>
      </c>
      <c r="G195" t="s">
        <v>210</v>
      </c>
    </row>
    <row r="196" spans="2:7" x14ac:dyDescent="0.25">
      <c r="B196" t="s">
        <v>207</v>
      </c>
      <c r="C196" t="s">
        <v>136</v>
      </c>
      <c r="D196">
        <v>3.32</v>
      </c>
      <c r="E196" t="s">
        <v>143</v>
      </c>
      <c r="F196" t="s">
        <v>143</v>
      </c>
      <c r="G196" t="s">
        <v>208</v>
      </c>
    </row>
    <row r="197" spans="2:7" x14ac:dyDescent="0.25">
      <c r="B197" t="s">
        <v>205</v>
      </c>
      <c r="C197" t="s">
        <v>136</v>
      </c>
      <c r="D197">
        <v>0.47</v>
      </c>
      <c r="E197" t="s">
        <v>143</v>
      </c>
      <c r="F197" t="s">
        <v>143</v>
      </c>
      <c r="G197" t="s">
        <v>206</v>
      </c>
    </row>
    <row r="198" spans="2:7" x14ac:dyDescent="0.25">
      <c r="B198" t="s">
        <v>203</v>
      </c>
      <c r="C198" t="s">
        <v>136</v>
      </c>
      <c r="D198">
        <v>3.55</v>
      </c>
      <c r="E198">
        <v>40</v>
      </c>
      <c r="F198">
        <v>1</v>
      </c>
      <c r="G198" t="s">
        <v>204</v>
      </c>
    </row>
    <row r="199" spans="2:7" x14ac:dyDescent="0.25">
      <c r="B199" t="s">
        <v>201</v>
      </c>
      <c r="C199" t="s">
        <v>136</v>
      </c>
      <c r="D199">
        <v>4.3499999999999996</v>
      </c>
      <c r="E199">
        <v>40</v>
      </c>
      <c r="F199">
        <v>1</v>
      </c>
      <c r="G199" t="s">
        <v>202</v>
      </c>
    </row>
    <row r="200" spans="2:7" x14ac:dyDescent="0.25">
      <c r="B200" t="s">
        <v>199</v>
      </c>
      <c r="C200" t="s">
        <v>136</v>
      </c>
      <c r="D200">
        <v>2.75</v>
      </c>
      <c r="E200">
        <v>40</v>
      </c>
      <c r="F200">
        <v>1</v>
      </c>
      <c r="G200" t="s">
        <v>200</v>
      </c>
    </row>
    <row r="201" spans="2:7" x14ac:dyDescent="0.25">
      <c r="B201" t="s">
        <v>197</v>
      </c>
      <c r="C201" t="s">
        <v>136</v>
      </c>
      <c r="D201">
        <v>11.36</v>
      </c>
      <c r="E201">
        <v>40</v>
      </c>
      <c r="F201">
        <v>1</v>
      </c>
      <c r="G201" t="s">
        <v>198</v>
      </c>
    </row>
    <row r="202" spans="2:7" x14ac:dyDescent="0.25">
      <c r="B202" t="s">
        <v>195</v>
      </c>
      <c r="C202" t="s">
        <v>136</v>
      </c>
      <c r="D202">
        <v>0.25</v>
      </c>
      <c r="E202">
        <v>5</v>
      </c>
      <c r="F202">
        <v>1</v>
      </c>
      <c r="G202" t="s">
        <v>196</v>
      </c>
    </row>
    <row r="203" spans="2:7" x14ac:dyDescent="0.25">
      <c r="B203" t="s">
        <v>193</v>
      </c>
      <c r="C203" t="s">
        <v>136</v>
      </c>
      <c r="D203">
        <v>0.23</v>
      </c>
      <c r="E203">
        <v>5</v>
      </c>
      <c r="F203">
        <v>1</v>
      </c>
      <c r="G203" t="s">
        <v>194</v>
      </c>
    </row>
    <row r="204" spans="2:7" x14ac:dyDescent="0.25">
      <c r="B204" t="s">
        <v>191</v>
      </c>
      <c r="C204" t="s">
        <v>136</v>
      </c>
      <c r="D204">
        <v>3.93</v>
      </c>
      <c r="E204">
        <v>5</v>
      </c>
      <c r="F204">
        <v>1</v>
      </c>
      <c r="G204" t="s">
        <v>192</v>
      </c>
    </row>
    <row r="205" spans="2:7" x14ac:dyDescent="0.25">
      <c r="B205" t="s">
        <v>189</v>
      </c>
      <c r="C205" t="s">
        <v>136</v>
      </c>
      <c r="D205">
        <v>3.99</v>
      </c>
      <c r="E205">
        <v>5</v>
      </c>
      <c r="F205">
        <v>1</v>
      </c>
      <c r="G205" t="s">
        <v>190</v>
      </c>
    </row>
    <row r="206" spans="2:7" x14ac:dyDescent="0.25">
      <c r="B206" t="s">
        <v>187</v>
      </c>
      <c r="C206" t="s">
        <v>136</v>
      </c>
      <c r="D206">
        <v>0.33</v>
      </c>
      <c r="E206">
        <v>5</v>
      </c>
      <c r="F206">
        <v>1</v>
      </c>
      <c r="G206" t="s">
        <v>188</v>
      </c>
    </row>
    <row r="207" spans="2:7" x14ac:dyDescent="0.25">
      <c r="B207" t="s">
        <v>185</v>
      </c>
      <c r="C207" t="s">
        <v>136</v>
      </c>
      <c r="D207">
        <v>0.54</v>
      </c>
      <c r="E207" t="s">
        <v>143</v>
      </c>
      <c r="F207" t="s">
        <v>143</v>
      </c>
      <c r="G207" t="s">
        <v>186</v>
      </c>
    </row>
    <row r="208" spans="2:7" x14ac:dyDescent="0.25">
      <c r="B208" t="s">
        <v>183</v>
      </c>
      <c r="C208" t="s">
        <v>136</v>
      </c>
      <c r="D208">
        <v>0.74</v>
      </c>
      <c r="E208" t="s">
        <v>143</v>
      </c>
      <c r="F208" t="s">
        <v>143</v>
      </c>
      <c r="G208" t="s">
        <v>184</v>
      </c>
    </row>
    <row r="209" spans="2:7" x14ac:dyDescent="0.25">
      <c r="B209" t="s">
        <v>181</v>
      </c>
      <c r="C209" t="s">
        <v>136</v>
      </c>
      <c r="D209">
        <v>0.73</v>
      </c>
      <c r="E209" t="s">
        <v>143</v>
      </c>
      <c r="F209" t="s">
        <v>143</v>
      </c>
      <c r="G209" t="s">
        <v>182</v>
      </c>
    </row>
    <row r="210" spans="2:7" x14ac:dyDescent="0.25">
      <c r="B210" t="s">
        <v>179</v>
      </c>
      <c r="C210" t="s">
        <v>136</v>
      </c>
      <c r="D210">
        <v>0.35</v>
      </c>
      <c r="E210" t="s">
        <v>143</v>
      </c>
      <c r="F210" t="s">
        <v>143</v>
      </c>
      <c r="G210" t="s">
        <v>180</v>
      </c>
    </row>
    <row r="211" spans="2:7" x14ac:dyDescent="0.25">
      <c r="B211" t="s">
        <v>177</v>
      </c>
      <c r="C211" t="s">
        <v>136</v>
      </c>
      <c r="D211">
        <v>0.43</v>
      </c>
      <c r="E211" t="s">
        <v>143</v>
      </c>
      <c r="F211" t="s">
        <v>143</v>
      </c>
      <c r="G211" t="s">
        <v>178</v>
      </c>
    </row>
    <row r="212" spans="2:7" x14ac:dyDescent="0.25">
      <c r="B212" t="s">
        <v>175</v>
      </c>
      <c r="C212" t="s">
        <v>136</v>
      </c>
      <c r="D212">
        <v>0.16</v>
      </c>
      <c r="E212" t="s">
        <v>143</v>
      </c>
      <c r="F212" t="s">
        <v>143</v>
      </c>
      <c r="G212" t="s">
        <v>176</v>
      </c>
    </row>
    <row r="213" spans="2:7" x14ac:dyDescent="0.25">
      <c r="B213" t="s">
        <v>173</v>
      </c>
      <c r="C213" t="s">
        <v>136</v>
      </c>
      <c r="D213">
        <v>2.56</v>
      </c>
      <c r="E213">
        <v>60</v>
      </c>
      <c r="F213">
        <v>3</v>
      </c>
      <c r="G213" t="s">
        <v>174</v>
      </c>
    </row>
    <row r="214" spans="2:7" x14ac:dyDescent="0.25">
      <c r="B214" t="s">
        <v>171</v>
      </c>
      <c r="C214" t="s">
        <v>136</v>
      </c>
      <c r="D214">
        <v>2.14</v>
      </c>
      <c r="E214">
        <v>60</v>
      </c>
      <c r="F214">
        <v>3</v>
      </c>
      <c r="G214" t="s">
        <v>172</v>
      </c>
    </row>
    <row r="215" spans="2:7" x14ac:dyDescent="0.25">
      <c r="B215" t="s">
        <v>169</v>
      </c>
      <c r="C215" t="s">
        <v>136</v>
      </c>
      <c r="D215">
        <v>0.44</v>
      </c>
      <c r="E215">
        <v>40</v>
      </c>
      <c r="F215">
        <v>5</v>
      </c>
      <c r="G215" t="s">
        <v>170</v>
      </c>
    </row>
    <row r="216" spans="2:7" x14ac:dyDescent="0.25">
      <c r="B216" t="s">
        <v>167</v>
      </c>
      <c r="C216" t="s">
        <v>136</v>
      </c>
      <c r="D216">
        <v>0.4</v>
      </c>
      <c r="E216">
        <v>40</v>
      </c>
      <c r="F216">
        <v>5</v>
      </c>
      <c r="G216" t="s">
        <v>168</v>
      </c>
    </row>
    <row r="217" spans="2:7" x14ac:dyDescent="0.25">
      <c r="B217" t="s">
        <v>165</v>
      </c>
      <c r="C217" t="s">
        <v>136</v>
      </c>
      <c r="D217">
        <v>0.65</v>
      </c>
      <c r="E217">
        <v>40</v>
      </c>
      <c r="F217">
        <v>5</v>
      </c>
      <c r="G217" t="s">
        <v>166</v>
      </c>
    </row>
    <row r="218" spans="2:7" x14ac:dyDescent="0.25">
      <c r="B218" t="s">
        <v>163</v>
      </c>
      <c r="C218" t="s">
        <v>136</v>
      </c>
      <c r="D218">
        <v>7.0000000000000007E-2</v>
      </c>
      <c r="E218">
        <v>40</v>
      </c>
      <c r="F218">
        <v>5</v>
      </c>
      <c r="G218" t="s">
        <v>164</v>
      </c>
    </row>
    <row r="219" spans="2:7" x14ac:dyDescent="0.25">
      <c r="B219" t="s">
        <v>159</v>
      </c>
      <c r="C219" t="s">
        <v>136</v>
      </c>
      <c r="D219">
        <v>0.25</v>
      </c>
      <c r="E219">
        <v>80</v>
      </c>
      <c r="F219">
        <v>5</v>
      </c>
      <c r="G219" t="s">
        <v>160</v>
      </c>
    </row>
    <row r="220" spans="2:7" x14ac:dyDescent="0.25">
      <c r="B220" t="s">
        <v>157</v>
      </c>
      <c r="C220" t="s">
        <v>136</v>
      </c>
      <c r="D220">
        <v>2.91</v>
      </c>
      <c r="E220">
        <v>80</v>
      </c>
      <c r="F220">
        <v>5</v>
      </c>
      <c r="G220" t="s">
        <v>158</v>
      </c>
    </row>
    <row r="221" spans="2:7" x14ac:dyDescent="0.25">
      <c r="B221" t="s">
        <v>155</v>
      </c>
      <c r="C221" t="s">
        <v>136</v>
      </c>
      <c r="D221">
        <v>3.01</v>
      </c>
      <c r="E221">
        <v>80</v>
      </c>
      <c r="F221">
        <v>5</v>
      </c>
      <c r="G221" t="s">
        <v>156</v>
      </c>
    </row>
    <row r="222" spans="2:7" x14ac:dyDescent="0.25">
      <c r="B222" t="s">
        <v>153</v>
      </c>
      <c r="C222" t="s">
        <v>136</v>
      </c>
      <c r="D222">
        <v>1.18</v>
      </c>
      <c r="E222">
        <v>40</v>
      </c>
      <c r="F222">
        <v>5</v>
      </c>
      <c r="G222" t="s">
        <v>154</v>
      </c>
    </row>
    <row r="223" spans="2:7" x14ac:dyDescent="0.25">
      <c r="B223" t="s">
        <v>151</v>
      </c>
      <c r="C223" t="s">
        <v>136</v>
      </c>
      <c r="D223">
        <v>1.1499999999999999</v>
      </c>
      <c r="E223" t="s">
        <v>143</v>
      </c>
      <c r="F223" t="s">
        <v>143</v>
      </c>
      <c r="G223" t="s">
        <v>152</v>
      </c>
    </row>
    <row r="224" spans="2:7" x14ac:dyDescent="0.25">
      <c r="B224" t="s">
        <v>149</v>
      </c>
      <c r="C224" t="s">
        <v>136</v>
      </c>
      <c r="D224">
        <v>0.81</v>
      </c>
      <c r="E224" t="s">
        <v>143</v>
      </c>
      <c r="F224" t="s">
        <v>143</v>
      </c>
      <c r="G224" t="s">
        <v>150</v>
      </c>
    </row>
    <row r="225" spans="2:7" x14ac:dyDescent="0.25">
      <c r="B225" t="s">
        <v>147</v>
      </c>
      <c r="C225" t="s">
        <v>136</v>
      </c>
      <c r="D225">
        <v>1.1499999999999999</v>
      </c>
      <c r="E225" t="s">
        <v>143</v>
      </c>
      <c r="F225" t="s">
        <v>143</v>
      </c>
      <c r="G225" t="s">
        <v>148</v>
      </c>
    </row>
    <row r="226" spans="2:7" x14ac:dyDescent="0.25">
      <c r="B226" t="s">
        <v>145</v>
      </c>
      <c r="C226" t="s">
        <v>136</v>
      </c>
      <c r="D226">
        <v>0.46</v>
      </c>
      <c r="E226" t="s">
        <v>143</v>
      </c>
      <c r="F226" t="s">
        <v>143</v>
      </c>
      <c r="G226" t="s">
        <v>146</v>
      </c>
    </row>
    <row r="227" spans="2:7" x14ac:dyDescent="0.25">
      <c r="B227" t="s">
        <v>142</v>
      </c>
      <c r="C227" t="s">
        <v>136</v>
      </c>
      <c r="D227">
        <v>0.09</v>
      </c>
      <c r="E227" t="s">
        <v>143</v>
      </c>
      <c r="F227" t="s">
        <v>143</v>
      </c>
      <c r="G227" t="s">
        <v>144</v>
      </c>
    </row>
    <row r="228" spans="2:7" x14ac:dyDescent="0.25">
      <c r="B228" t="s">
        <v>140</v>
      </c>
      <c r="C228" t="s">
        <v>136</v>
      </c>
      <c r="D228">
        <v>5.44</v>
      </c>
      <c r="E228">
        <v>40</v>
      </c>
      <c r="F228">
        <v>1</v>
      </c>
      <c r="G228" t="s">
        <v>141</v>
      </c>
    </row>
    <row r="229" spans="2:7" x14ac:dyDescent="0.25">
      <c r="B229" t="s">
        <v>138</v>
      </c>
      <c r="C229" t="s">
        <v>136</v>
      </c>
      <c r="D229">
        <v>0.09</v>
      </c>
      <c r="E229">
        <v>40</v>
      </c>
      <c r="F229">
        <v>1</v>
      </c>
      <c r="G229" t="s">
        <v>139</v>
      </c>
    </row>
    <row r="230" spans="2:7" x14ac:dyDescent="0.25">
      <c r="B230" t="s">
        <v>135</v>
      </c>
      <c r="C230" t="s">
        <v>136</v>
      </c>
      <c r="D230">
        <v>0.06</v>
      </c>
      <c r="E230">
        <v>40</v>
      </c>
      <c r="F230">
        <v>1</v>
      </c>
      <c r="G230" t="s">
        <v>137</v>
      </c>
    </row>
    <row r="231" spans="2:7" x14ac:dyDescent="0.25">
      <c r="B231" t="s">
        <v>129</v>
      </c>
      <c r="C231" t="s">
        <v>130</v>
      </c>
      <c r="D231" t="s">
        <v>131</v>
      </c>
      <c r="E231" t="s">
        <v>132</v>
      </c>
      <c r="F231" t="s">
        <v>133</v>
      </c>
      <c r="G231" t="s">
        <v>134</v>
      </c>
    </row>
  </sheetData>
  <sortState ref="B3:G233">
    <sortCondition ref="B1:B23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opLeftCell="A292" workbookViewId="0">
      <selection activeCell="F14" sqref="A1:F316"/>
    </sheetView>
  </sheetViews>
  <sheetFormatPr defaultRowHeight="15" x14ac:dyDescent="0.25"/>
  <sheetData>
    <row r="1" spans="1:6" x14ac:dyDescent="0.25">
      <c r="A1" t="s">
        <v>129</v>
      </c>
      <c r="B1" t="s">
        <v>130</v>
      </c>
      <c r="C1" t="s">
        <v>131</v>
      </c>
      <c r="D1" t="s">
        <v>132</v>
      </c>
      <c r="E1" t="s">
        <v>133</v>
      </c>
      <c r="F1" t="s">
        <v>134</v>
      </c>
    </row>
    <row r="2" spans="1:6" x14ac:dyDescent="0.25">
      <c r="A2" t="s">
        <v>583</v>
      </c>
      <c r="B2" t="s">
        <v>136</v>
      </c>
      <c r="C2" t="s">
        <v>1018</v>
      </c>
      <c r="D2">
        <v>60</v>
      </c>
      <c r="E2">
        <v>7</v>
      </c>
      <c r="F2" t="s">
        <v>576</v>
      </c>
    </row>
    <row r="3" spans="1:6" x14ac:dyDescent="0.25">
      <c r="A3" t="s">
        <v>581</v>
      </c>
      <c r="B3" t="s">
        <v>136</v>
      </c>
      <c r="C3" t="s">
        <v>1201</v>
      </c>
      <c r="D3">
        <v>60</v>
      </c>
      <c r="E3">
        <v>7</v>
      </c>
      <c r="F3" t="s">
        <v>574</v>
      </c>
    </row>
    <row r="4" spans="1:6" x14ac:dyDescent="0.25">
      <c r="A4" t="s">
        <v>579</v>
      </c>
      <c r="B4" t="s">
        <v>136</v>
      </c>
      <c r="C4" t="s">
        <v>1091</v>
      </c>
      <c r="D4">
        <v>60</v>
      </c>
      <c r="E4">
        <v>7</v>
      </c>
      <c r="F4" t="s">
        <v>568</v>
      </c>
    </row>
    <row r="5" spans="1:6" x14ac:dyDescent="0.25">
      <c r="A5" t="s">
        <v>577</v>
      </c>
      <c r="B5" t="s">
        <v>136</v>
      </c>
      <c r="C5" t="s">
        <v>1031</v>
      </c>
      <c r="D5">
        <v>60</v>
      </c>
      <c r="E5">
        <v>7</v>
      </c>
      <c r="F5" t="s">
        <v>570</v>
      </c>
    </row>
    <row r="6" spans="1:6" x14ac:dyDescent="0.25">
      <c r="A6" t="s">
        <v>575</v>
      </c>
      <c r="B6" t="s">
        <v>136</v>
      </c>
      <c r="C6" t="s">
        <v>1102</v>
      </c>
      <c r="D6">
        <v>60</v>
      </c>
      <c r="E6">
        <v>7</v>
      </c>
      <c r="F6" t="s">
        <v>572</v>
      </c>
    </row>
    <row r="7" spans="1:6" x14ac:dyDescent="0.25">
      <c r="A7" t="s">
        <v>573</v>
      </c>
      <c r="B7" t="s">
        <v>136</v>
      </c>
      <c r="C7" t="s">
        <v>1200</v>
      </c>
      <c r="D7">
        <v>60</v>
      </c>
      <c r="E7">
        <v>7</v>
      </c>
      <c r="F7" t="s">
        <v>564</v>
      </c>
    </row>
    <row r="8" spans="1:6" x14ac:dyDescent="0.25">
      <c r="A8" t="s">
        <v>571</v>
      </c>
      <c r="B8" t="s">
        <v>136</v>
      </c>
      <c r="C8" t="s">
        <v>1199</v>
      </c>
      <c r="D8">
        <v>60</v>
      </c>
      <c r="E8">
        <v>7</v>
      </c>
      <c r="F8" t="s">
        <v>560</v>
      </c>
    </row>
    <row r="9" spans="1:6" x14ac:dyDescent="0.25">
      <c r="A9" t="s">
        <v>569</v>
      </c>
      <c r="B9" t="s">
        <v>136</v>
      </c>
      <c r="C9" t="s">
        <v>1091</v>
      </c>
      <c r="D9">
        <v>60</v>
      </c>
      <c r="E9">
        <v>7</v>
      </c>
      <c r="F9" t="s">
        <v>562</v>
      </c>
    </row>
    <row r="10" spans="1:6" x14ac:dyDescent="0.25">
      <c r="A10" t="s">
        <v>567</v>
      </c>
      <c r="B10" t="s">
        <v>136</v>
      </c>
      <c r="C10" t="s">
        <v>873</v>
      </c>
      <c r="D10">
        <v>60</v>
      </c>
      <c r="E10">
        <v>7</v>
      </c>
      <c r="F10" t="s">
        <v>566</v>
      </c>
    </row>
    <row r="11" spans="1:6" x14ac:dyDescent="0.25">
      <c r="A11" t="s">
        <v>565</v>
      </c>
      <c r="B11" t="s">
        <v>136</v>
      </c>
      <c r="C11" t="s">
        <v>1198</v>
      </c>
      <c r="D11">
        <v>60</v>
      </c>
      <c r="E11">
        <v>7</v>
      </c>
      <c r="F11" t="s">
        <v>558</v>
      </c>
    </row>
    <row r="12" spans="1:6" x14ac:dyDescent="0.25">
      <c r="A12" t="s">
        <v>563</v>
      </c>
      <c r="B12" t="s">
        <v>136</v>
      </c>
      <c r="C12" t="s">
        <v>1197</v>
      </c>
      <c r="D12">
        <v>60</v>
      </c>
      <c r="E12">
        <v>7</v>
      </c>
      <c r="F12" t="s">
        <v>556</v>
      </c>
    </row>
    <row r="13" spans="1:6" x14ac:dyDescent="0.25">
      <c r="A13" t="s">
        <v>559</v>
      </c>
      <c r="B13" t="s">
        <v>136</v>
      </c>
      <c r="C13" t="s">
        <v>1196</v>
      </c>
      <c r="D13">
        <v>60</v>
      </c>
      <c r="E13">
        <v>7</v>
      </c>
      <c r="F13" t="s">
        <v>554</v>
      </c>
    </row>
    <row r="14" spans="1:6" x14ac:dyDescent="0.25">
      <c r="A14" t="s">
        <v>557</v>
      </c>
      <c r="B14" t="s">
        <v>136</v>
      </c>
      <c r="C14" t="s">
        <v>891</v>
      </c>
      <c r="D14">
        <v>60</v>
      </c>
      <c r="E14">
        <v>7</v>
      </c>
      <c r="F14" t="s">
        <v>736</v>
      </c>
    </row>
    <row r="15" spans="1:6" x14ac:dyDescent="0.25">
      <c r="A15" t="s">
        <v>555</v>
      </c>
      <c r="B15" t="s">
        <v>136</v>
      </c>
      <c r="C15" t="s">
        <v>1065</v>
      </c>
      <c r="D15">
        <v>60</v>
      </c>
      <c r="E15">
        <v>7</v>
      </c>
      <c r="F15" t="s">
        <v>737</v>
      </c>
    </row>
    <row r="16" spans="1:6" x14ac:dyDescent="0.25">
      <c r="A16" t="s">
        <v>553</v>
      </c>
      <c r="B16" t="s">
        <v>136</v>
      </c>
      <c r="C16" t="s">
        <v>930</v>
      </c>
      <c r="D16">
        <v>60</v>
      </c>
      <c r="E16">
        <v>7</v>
      </c>
      <c r="F16" t="s">
        <v>738</v>
      </c>
    </row>
    <row r="17" spans="1:6" x14ac:dyDescent="0.25">
      <c r="A17" t="s">
        <v>551</v>
      </c>
      <c r="B17" t="s">
        <v>136</v>
      </c>
      <c r="C17" t="s">
        <v>1195</v>
      </c>
      <c r="D17">
        <v>60</v>
      </c>
      <c r="E17">
        <v>7</v>
      </c>
      <c r="F17" t="s">
        <v>552</v>
      </c>
    </row>
    <row r="18" spans="1:6" x14ac:dyDescent="0.25">
      <c r="A18" t="s">
        <v>549</v>
      </c>
      <c r="B18" t="s">
        <v>136</v>
      </c>
      <c r="C18" t="s">
        <v>981</v>
      </c>
      <c r="D18">
        <v>60</v>
      </c>
      <c r="E18">
        <v>7</v>
      </c>
      <c r="F18" t="s">
        <v>550</v>
      </c>
    </row>
    <row r="19" spans="1:6" x14ac:dyDescent="0.25">
      <c r="A19" t="s">
        <v>547</v>
      </c>
      <c r="B19" t="s">
        <v>136</v>
      </c>
      <c r="C19" t="s">
        <v>1194</v>
      </c>
      <c r="D19">
        <v>60</v>
      </c>
      <c r="E19">
        <v>7</v>
      </c>
      <c r="F19" t="s">
        <v>548</v>
      </c>
    </row>
    <row r="20" spans="1:6" x14ac:dyDescent="0.25">
      <c r="A20" t="s">
        <v>545</v>
      </c>
      <c r="B20" t="s">
        <v>136</v>
      </c>
      <c r="C20" t="s">
        <v>1193</v>
      </c>
      <c r="D20">
        <v>60</v>
      </c>
      <c r="E20">
        <v>7</v>
      </c>
      <c r="F20" t="s">
        <v>546</v>
      </c>
    </row>
    <row r="21" spans="1:6" x14ac:dyDescent="0.25">
      <c r="A21" t="s">
        <v>543</v>
      </c>
      <c r="B21" t="s">
        <v>136</v>
      </c>
      <c r="C21" t="s">
        <v>1192</v>
      </c>
      <c r="D21">
        <v>60</v>
      </c>
      <c r="E21">
        <v>7</v>
      </c>
      <c r="F21" t="s">
        <v>544</v>
      </c>
    </row>
    <row r="22" spans="1:6" x14ac:dyDescent="0.25">
      <c r="A22" t="s">
        <v>541</v>
      </c>
      <c r="B22" t="s">
        <v>136</v>
      </c>
      <c r="C22" t="s">
        <v>916</v>
      </c>
      <c r="D22">
        <v>60</v>
      </c>
      <c r="E22">
        <v>7</v>
      </c>
      <c r="F22" t="s">
        <v>542</v>
      </c>
    </row>
    <row r="23" spans="1:6" x14ac:dyDescent="0.25">
      <c r="A23" t="s">
        <v>539</v>
      </c>
      <c r="B23" t="s">
        <v>136</v>
      </c>
      <c r="C23" t="s">
        <v>1191</v>
      </c>
      <c r="D23">
        <v>60</v>
      </c>
      <c r="E23">
        <v>7</v>
      </c>
      <c r="F23" t="s">
        <v>540</v>
      </c>
    </row>
    <row r="24" spans="1:6" x14ac:dyDescent="0.25">
      <c r="A24" t="s">
        <v>537</v>
      </c>
      <c r="B24" t="s">
        <v>136</v>
      </c>
      <c r="C24" t="s">
        <v>970</v>
      </c>
      <c r="D24">
        <v>60</v>
      </c>
      <c r="E24">
        <v>7</v>
      </c>
      <c r="F24" t="s">
        <v>538</v>
      </c>
    </row>
    <row r="25" spans="1:6" x14ac:dyDescent="0.25">
      <c r="A25" t="s">
        <v>535</v>
      </c>
      <c r="B25" t="s">
        <v>136</v>
      </c>
      <c r="C25" t="s">
        <v>1190</v>
      </c>
      <c r="D25">
        <v>60</v>
      </c>
      <c r="E25">
        <v>7</v>
      </c>
      <c r="F25" t="s">
        <v>536</v>
      </c>
    </row>
    <row r="26" spans="1:6" x14ac:dyDescent="0.25">
      <c r="A26" t="s">
        <v>533</v>
      </c>
      <c r="B26" t="s">
        <v>136</v>
      </c>
      <c r="C26" t="s">
        <v>1055</v>
      </c>
      <c r="D26">
        <v>60</v>
      </c>
      <c r="E26">
        <v>7</v>
      </c>
      <c r="F26" t="s">
        <v>534</v>
      </c>
    </row>
    <row r="27" spans="1:6" x14ac:dyDescent="0.25">
      <c r="A27" t="s">
        <v>531</v>
      </c>
      <c r="B27" t="s">
        <v>136</v>
      </c>
      <c r="C27" t="s">
        <v>896</v>
      </c>
      <c r="D27">
        <v>60</v>
      </c>
      <c r="E27">
        <v>7</v>
      </c>
      <c r="F27" t="s">
        <v>532</v>
      </c>
    </row>
    <row r="28" spans="1:6" x14ac:dyDescent="0.25">
      <c r="A28" t="s">
        <v>529</v>
      </c>
      <c r="B28" t="s">
        <v>136</v>
      </c>
      <c r="C28" t="s">
        <v>1189</v>
      </c>
      <c r="D28">
        <v>60</v>
      </c>
      <c r="E28">
        <v>7</v>
      </c>
      <c r="F28" t="s">
        <v>530</v>
      </c>
    </row>
    <row r="29" spans="1:6" x14ac:dyDescent="0.25">
      <c r="A29" t="s">
        <v>527</v>
      </c>
      <c r="B29" t="s">
        <v>136</v>
      </c>
      <c r="C29" t="s">
        <v>938</v>
      </c>
      <c r="D29">
        <v>60</v>
      </c>
      <c r="E29">
        <v>7</v>
      </c>
      <c r="F29" t="s">
        <v>528</v>
      </c>
    </row>
    <row r="30" spans="1:6" x14ac:dyDescent="0.25">
      <c r="A30" t="s">
        <v>525</v>
      </c>
      <c r="B30" t="s">
        <v>136</v>
      </c>
      <c r="C30" t="s">
        <v>1188</v>
      </c>
      <c r="D30">
        <v>60</v>
      </c>
      <c r="E30">
        <v>7</v>
      </c>
      <c r="F30" t="s">
        <v>597</v>
      </c>
    </row>
    <row r="31" spans="1:6" x14ac:dyDescent="0.25">
      <c r="A31" t="s">
        <v>523</v>
      </c>
      <c r="B31" t="s">
        <v>136</v>
      </c>
      <c r="C31" t="s">
        <v>1187</v>
      </c>
      <c r="D31">
        <v>60</v>
      </c>
      <c r="E31">
        <v>7</v>
      </c>
      <c r="F31" t="s">
        <v>526</v>
      </c>
    </row>
    <row r="32" spans="1:6" x14ac:dyDescent="0.25">
      <c r="A32" t="s">
        <v>521</v>
      </c>
      <c r="B32" t="s">
        <v>136</v>
      </c>
      <c r="C32" t="s">
        <v>1006</v>
      </c>
      <c r="D32">
        <v>60</v>
      </c>
      <c r="E32">
        <v>7</v>
      </c>
      <c r="F32" t="s">
        <v>524</v>
      </c>
    </row>
    <row r="33" spans="1:6" x14ac:dyDescent="0.25">
      <c r="A33" t="s">
        <v>519</v>
      </c>
      <c r="B33" t="s">
        <v>136</v>
      </c>
      <c r="C33" t="s">
        <v>932</v>
      </c>
      <c r="D33">
        <v>60</v>
      </c>
      <c r="E33">
        <v>7</v>
      </c>
      <c r="F33" t="s">
        <v>522</v>
      </c>
    </row>
    <row r="34" spans="1:6" x14ac:dyDescent="0.25">
      <c r="A34" t="s">
        <v>517</v>
      </c>
      <c r="B34" t="s">
        <v>136</v>
      </c>
      <c r="C34" t="s">
        <v>1186</v>
      </c>
      <c r="D34">
        <v>60</v>
      </c>
      <c r="E34">
        <v>7</v>
      </c>
      <c r="F34" t="s">
        <v>516</v>
      </c>
    </row>
    <row r="35" spans="1:6" x14ac:dyDescent="0.25">
      <c r="A35" t="s">
        <v>511</v>
      </c>
      <c r="B35" t="s">
        <v>136</v>
      </c>
      <c r="C35" t="s">
        <v>1185</v>
      </c>
      <c r="D35">
        <v>60</v>
      </c>
      <c r="E35">
        <v>7</v>
      </c>
      <c r="F35" t="s">
        <v>500</v>
      </c>
    </row>
    <row r="36" spans="1:6" x14ac:dyDescent="0.25">
      <c r="A36" t="s">
        <v>509</v>
      </c>
      <c r="B36" t="s">
        <v>136</v>
      </c>
      <c r="C36" t="s">
        <v>1184</v>
      </c>
      <c r="D36">
        <v>60</v>
      </c>
      <c r="E36">
        <v>7</v>
      </c>
      <c r="F36" t="s">
        <v>508</v>
      </c>
    </row>
    <row r="37" spans="1:6" x14ac:dyDescent="0.25">
      <c r="A37" t="s">
        <v>507</v>
      </c>
      <c r="B37" t="s">
        <v>136</v>
      </c>
      <c r="C37" t="s">
        <v>1183</v>
      </c>
      <c r="D37">
        <v>60</v>
      </c>
      <c r="E37">
        <v>7</v>
      </c>
      <c r="F37" t="s">
        <v>504</v>
      </c>
    </row>
    <row r="38" spans="1:6" x14ac:dyDescent="0.25">
      <c r="A38" t="s">
        <v>505</v>
      </c>
      <c r="B38" t="s">
        <v>136</v>
      </c>
      <c r="C38" t="s">
        <v>1182</v>
      </c>
      <c r="D38">
        <v>60</v>
      </c>
      <c r="E38">
        <v>7</v>
      </c>
      <c r="F38" t="s">
        <v>490</v>
      </c>
    </row>
    <row r="39" spans="1:6" x14ac:dyDescent="0.25">
      <c r="A39" t="s">
        <v>499</v>
      </c>
      <c r="B39" t="s">
        <v>136</v>
      </c>
      <c r="C39" t="s">
        <v>1056</v>
      </c>
      <c r="D39">
        <v>60</v>
      </c>
      <c r="E39">
        <v>7</v>
      </c>
      <c r="F39" t="s">
        <v>498</v>
      </c>
    </row>
    <row r="40" spans="1:6" x14ac:dyDescent="0.25">
      <c r="A40" t="s">
        <v>497</v>
      </c>
      <c r="B40" t="s">
        <v>136</v>
      </c>
      <c r="C40" t="s">
        <v>1040</v>
      </c>
      <c r="D40">
        <v>60</v>
      </c>
      <c r="E40">
        <v>7</v>
      </c>
      <c r="F40" t="s">
        <v>502</v>
      </c>
    </row>
    <row r="41" spans="1:6" x14ac:dyDescent="0.25">
      <c r="A41" t="s">
        <v>495</v>
      </c>
      <c r="B41" t="s">
        <v>136</v>
      </c>
      <c r="C41" t="s">
        <v>943</v>
      </c>
      <c r="D41">
        <v>60</v>
      </c>
      <c r="E41">
        <v>7</v>
      </c>
      <c r="F41" t="s">
        <v>488</v>
      </c>
    </row>
    <row r="42" spans="1:6" x14ac:dyDescent="0.25">
      <c r="A42" t="s">
        <v>493</v>
      </c>
      <c r="B42" t="s">
        <v>136</v>
      </c>
      <c r="C42" t="s">
        <v>1181</v>
      </c>
      <c r="D42">
        <v>60</v>
      </c>
      <c r="E42">
        <v>7</v>
      </c>
      <c r="F42" t="s">
        <v>492</v>
      </c>
    </row>
    <row r="43" spans="1:6" x14ac:dyDescent="0.25">
      <c r="A43" t="s">
        <v>491</v>
      </c>
      <c r="B43" t="s">
        <v>136</v>
      </c>
      <c r="C43" t="s">
        <v>1180</v>
      </c>
      <c r="D43">
        <v>60</v>
      </c>
      <c r="E43">
        <v>7</v>
      </c>
      <c r="F43" t="s">
        <v>470</v>
      </c>
    </row>
    <row r="44" spans="1:6" x14ac:dyDescent="0.25">
      <c r="A44" t="s">
        <v>489</v>
      </c>
      <c r="B44" t="s">
        <v>136</v>
      </c>
      <c r="C44" t="s">
        <v>1179</v>
      </c>
      <c r="D44">
        <v>60</v>
      </c>
      <c r="E44">
        <v>7</v>
      </c>
      <c r="F44" t="s">
        <v>496</v>
      </c>
    </row>
    <row r="45" spans="1:6" x14ac:dyDescent="0.25">
      <c r="A45" t="s">
        <v>487</v>
      </c>
      <c r="B45" t="s">
        <v>136</v>
      </c>
      <c r="C45" t="s">
        <v>1178</v>
      </c>
      <c r="D45">
        <v>60</v>
      </c>
      <c r="E45">
        <v>7</v>
      </c>
      <c r="F45" t="s">
        <v>484</v>
      </c>
    </row>
    <row r="46" spans="1:6" x14ac:dyDescent="0.25">
      <c r="A46" t="s">
        <v>485</v>
      </c>
      <c r="B46" t="s">
        <v>136</v>
      </c>
      <c r="C46" t="s">
        <v>1177</v>
      </c>
      <c r="D46">
        <v>60</v>
      </c>
      <c r="E46">
        <v>7</v>
      </c>
      <c r="F46" t="s">
        <v>482</v>
      </c>
    </row>
    <row r="47" spans="1:6" x14ac:dyDescent="0.25">
      <c r="A47" t="s">
        <v>483</v>
      </c>
      <c r="B47" t="s">
        <v>136</v>
      </c>
      <c r="C47" t="s">
        <v>905</v>
      </c>
      <c r="D47">
        <v>60</v>
      </c>
      <c r="E47">
        <v>7</v>
      </c>
      <c r="F47" t="s">
        <v>480</v>
      </c>
    </row>
    <row r="48" spans="1:6" x14ac:dyDescent="0.25">
      <c r="A48" t="s">
        <v>481</v>
      </c>
      <c r="B48" t="s">
        <v>136</v>
      </c>
      <c r="C48" t="s">
        <v>1176</v>
      </c>
      <c r="D48">
        <v>60</v>
      </c>
      <c r="E48">
        <v>7</v>
      </c>
      <c r="F48" t="s">
        <v>478</v>
      </c>
    </row>
    <row r="49" spans="1:6" x14ac:dyDescent="0.25">
      <c r="A49" t="s">
        <v>479</v>
      </c>
      <c r="B49" t="s">
        <v>136</v>
      </c>
      <c r="C49" t="s">
        <v>1175</v>
      </c>
      <c r="D49">
        <v>60</v>
      </c>
      <c r="E49">
        <v>7</v>
      </c>
      <c r="F49" t="s">
        <v>474</v>
      </c>
    </row>
    <row r="50" spans="1:6" x14ac:dyDescent="0.25">
      <c r="A50" t="s">
        <v>477</v>
      </c>
      <c r="B50" t="s">
        <v>136</v>
      </c>
      <c r="C50" t="s">
        <v>1098</v>
      </c>
      <c r="D50">
        <v>60</v>
      </c>
      <c r="E50">
        <v>7</v>
      </c>
      <c r="F50" t="s">
        <v>472</v>
      </c>
    </row>
    <row r="51" spans="1:6" x14ac:dyDescent="0.25">
      <c r="A51" t="s">
        <v>475</v>
      </c>
      <c r="B51" t="s">
        <v>136</v>
      </c>
      <c r="C51" t="s">
        <v>1174</v>
      </c>
      <c r="D51">
        <v>60</v>
      </c>
      <c r="E51">
        <v>7</v>
      </c>
      <c r="F51" t="s">
        <v>598</v>
      </c>
    </row>
    <row r="52" spans="1:6" x14ac:dyDescent="0.25">
      <c r="A52" t="s">
        <v>473</v>
      </c>
      <c r="B52" t="s">
        <v>136</v>
      </c>
      <c r="C52" t="s">
        <v>938</v>
      </c>
      <c r="D52">
        <v>60</v>
      </c>
      <c r="E52">
        <v>7</v>
      </c>
      <c r="F52" t="s">
        <v>722</v>
      </c>
    </row>
    <row r="53" spans="1:6" x14ac:dyDescent="0.25">
      <c r="A53" t="s">
        <v>471</v>
      </c>
      <c r="B53" t="s">
        <v>136</v>
      </c>
      <c r="C53" t="s">
        <v>1173</v>
      </c>
      <c r="D53">
        <v>60</v>
      </c>
      <c r="E53">
        <v>7</v>
      </c>
      <c r="F53" t="s">
        <v>695</v>
      </c>
    </row>
    <row r="54" spans="1:6" x14ac:dyDescent="0.25">
      <c r="A54" t="s">
        <v>469</v>
      </c>
      <c r="B54" t="s">
        <v>136</v>
      </c>
      <c r="C54" t="s">
        <v>1172</v>
      </c>
      <c r="D54">
        <v>60</v>
      </c>
      <c r="E54">
        <v>7</v>
      </c>
      <c r="F54" t="s">
        <v>486</v>
      </c>
    </row>
    <row r="55" spans="1:6" x14ac:dyDescent="0.25">
      <c r="A55" t="s">
        <v>467</v>
      </c>
      <c r="B55" t="s">
        <v>136</v>
      </c>
      <c r="C55" t="s">
        <v>1171</v>
      </c>
      <c r="D55">
        <v>60</v>
      </c>
      <c r="E55">
        <v>7</v>
      </c>
      <c r="F55" t="s">
        <v>468</v>
      </c>
    </row>
    <row r="56" spans="1:6" x14ac:dyDescent="0.25">
      <c r="A56" t="s">
        <v>465</v>
      </c>
      <c r="B56" t="s">
        <v>136</v>
      </c>
      <c r="C56" t="s">
        <v>1102</v>
      </c>
      <c r="D56">
        <v>60</v>
      </c>
      <c r="E56">
        <v>7</v>
      </c>
      <c r="F56" t="s">
        <v>466</v>
      </c>
    </row>
    <row r="57" spans="1:6" x14ac:dyDescent="0.25">
      <c r="A57" t="s">
        <v>463</v>
      </c>
      <c r="B57" t="s">
        <v>136</v>
      </c>
      <c r="C57" t="s">
        <v>981</v>
      </c>
      <c r="D57">
        <v>60</v>
      </c>
      <c r="E57">
        <v>7</v>
      </c>
      <c r="F57" t="s">
        <v>464</v>
      </c>
    </row>
    <row r="58" spans="1:6" x14ac:dyDescent="0.25">
      <c r="A58" t="s">
        <v>461</v>
      </c>
      <c r="B58" t="s">
        <v>136</v>
      </c>
      <c r="C58" t="s">
        <v>941</v>
      </c>
      <c r="D58">
        <v>60</v>
      </c>
      <c r="E58">
        <v>7</v>
      </c>
      <c r="F58" t="s">
        <v>462</v>
      </c>
    </row>
    <row r="59" spans="1:6" x14ac:dyDescent="0.25">
      <c r="A59" t="s">
        <v>459</v>
      </c>
      <c r="B59" t="s">
        <v>136</v>
      </c>
      <c r="C59" t="s">
        <v>1170</v>
      </c>
      <c r="D59">
        <v>60</v>
      </c>
      <c r="E59">
        <v>7</v>
      </c>
      <c r="F59" t="s">
        <v>460</v>
      </c>
    </row>
    <row r="60" spans="1:6" x14ac:dyDescent="0.25">
      <c r="A60" t="s">
        <v>455</v>
      </c>
      <c r="B60" t="s">
        <v>136</v>
      </c>
      <c r="C60" t="s">
        <v>1169</v>
      </c>
      <c r="D60">
        <v>60</v>
      </c>
      <c r="E60">
        <v>7</v>
      </c>
      <c r="F60" t="s">
        <v>456</v>
      </c>
    </row>
    <row r="61" spans="1:6" x14ac:dyDescent="0.25">
      <c r="A61" t="s">
        <v>453</v>
      </c>
      <c r="B61" t="s">
        <v>136</v>
      </c>
      <c r="C61" t="s">
        <v>1168</v>
      </c>
      <c r="D61">
        <v>60</v>
      </c>
      <c r="E61">
        <v>7</v>
      </c>
      <c r="F61" t="s">
        <v>454</v>
      </c>
    </row>
    <row r="62" spans="1:6" x14ac:dyDescent="0.25">
      <c r="A62" t="s">
        <v>451</v>
      </c>
      <c r="B62" t="s">
        <v>136</v>
      </c>
      <c r="C62" t="s">
        <v>1167</v>
      </c>
      <c r="D62">
        <v>60</v>
      </c>
      <c r="E62">
        <v>7</v>
      </c>
      <c r="F62" t="s">
        <v>452</v>
      </c>
    </row>
    <row r="63" spans="1:6" x14ac:dyDescent="0.25">
      <c r="A63" t="s">
        <v>449</v>
      </c>
      <c r="B63" t="s">
        <v>136</v>
      </c>
      <c r="C63" t="s">
        <v>1119</v>
      </c>
      <c r="D63">
        <v>60</v>
      </c>
      <c r="E63">
        <v>7</v>
      </c>
      <c r="F63" t="s">
        <v>450</v>
      </c>
    </row>
    <row r="64" spans="1:6" x14ac:dyDescent="0.25">
      <c r="A64" t="s">
        <v>447</v>
      </c>
      <c r="B64" t="s">
        <v>136</v>
      </c>
      <c r="C64" t="s">
        <v>1109</v>
      </c>
      <c r="D64">
        <v>60</v>
      </c>
      <c r="E64">
        <v>7</v>
      </c>
      <c r="F64" t="s">
        <v>448</v>
      </c>
    </row>
    <row r="65" spans="1:6" x14ac:dyDescent="0.25">
      <c r="A65" t="s">
        <v>445</v>
      </c>
      <c r="B65" t="s">
        <v>136</v>
      </c>
      <c r="C65" t="s">
        <v>984</v>
      </c>
      <c r="D65">
        <v>60</v>
      </c>
      <c r="E65">
        <v>7</v>
      </c>
      <c r="F65" t="s">
        <v>444</v>
      </c>
    </row>
    <row r="66" spans="1:6" x14ac:dyDescent="0.25">
      <c r="A66" t="s">
        <v>443</v>
      </c>
      <c r="B66" t="s">
        <v>136</v>
      </c>
      <c r="C66" t="s">
        <v>1166</v>
      </c>
      <c r="D66">
        <v>60</v>
      </c>
      <c r="E66">
        <v>7</v>
      </c>
      <c r="F66" t="s">
        <v>586</v>
      </c>
    </row>
    <row r="67" spans="1:6" x14ac:dyDescent="0.25">
      <c r="A67" t="s">
        <v>441</v>
      </c>
      <c r="B67" t="s">
        <v>136</v>
      </c>
      <c r="C67" t="s">
        <v>1165</v>
      </c>
      <c r="D67">
        <v>60</v>
      </c>
      <c r="E67">
        <v>7</v>
      </c>
      <c r="F67" t="s">
        <v>587</v>
      </c>
    </row>
    <row r="68" spans="1:6" x14ac:dyDescent="0.25">
      <c r="A68" t="s">
        <v>439</v>
      </c>
      <c r="B68" t="s">
        <v>136</v>
      </c>
      <c r="C68" t="s">
        <v>1164</v>
      </c>
      <c r="D68">
        <v>60</v>
      </c>
      <c r="E68">
        <v>7</v>
      </c>
      <c r="F68" t="s">
        <v>588</v>
      </c>
    </row>
    <row r="69" spans="1:6" x14ac:dyDescent="0.25">
      <c r="A69" t="s">
        <v>437</v>
      </c>
      <c r="B69" t="s">
        <v>136</v>
      </c>
      <c r="C69" t="s">
        <v>1163</v>
      </c>
      <c r="D69">
        <v>60</v>
      </c>
      <c r="E69">
        <v>7</v>
      </c>
      <c r="F69" t="s">
        <v>589</v>
      </c>
    </row>
    <row r="70" spans="1:6" x14ac:dyDescent="0.25">
      <c r="A70" t="s">
        <v>435</v>
      </c>
      <c r="B70" t="s">
        <v>136</v>
      </c>
      <c r="C70" t="s">
        <v>1162</v>
      </c>
      <c r="D70">
        <v>60</v>
      </c>
      <c r="E70">
        <v>7</v>
      </c>
      <c r="F70" t="s">
        <v>590</v>
      </c>
    </row>
    <row r="71" spans="1:6" x14ac:dyDescent="0.25">
      <c r="A71" t="s">
        <v>432</v>
      </c>
      <c r="B71" t="s">
        <v>136</v>
      </c>
      <c r="C71" t="s">
        <v>1161</v>
      </c>
      <c r="D71">
        <v>60</v>
      </c>
      <c r="E71">
        <v>7</v>
      </c>
      <c r="F71" t="s">
        <v>446</v>
      </c>
    </row>
    <row r="72" spans="1:6" x14ac:dyDescent="0.25">
      <c r="A72" t="s">
        <v>431</v>
      </c>
      <c r="B72" t="s">
        <v>136</v>
      </c>
      <c r="C72" t="s">
        <v>1160</v>
      </c>
      <c r="D72">
        <v>60</v>
      </c>
      <c r="E72">
        <v>7</v>
      </c>
      <c r="F72" t="s">
        <v>442</v>
      </c>
    </row>
    <row r="73" spans="1:6" x14ac:dyDescent="0.25">
      <c r="A73" t="s">
        <v>430</v>
      </c>
      <c r="B73" t="s">
        <v>136</v>
      </c>
      <c r="C73" t="s">
        <v>963</v>
      </c>
      <c r="D73">
        <v>60</v>
      </c>
      <c r="E73">
        <v>7</v>
      </c>
      <c r="F73" t="s">
        <v>440</v>
      </c>
    </row>
    <row r="74" spans="1:6" x14ac:dyDescent="0.25">
      <c r="A74" t="s">
        <v>429</v>
      </c>
      <c r="B74" t="s">
        <v>136</v>
      </c>
      <c r="C74" t="s">
        <v>1159</v>
      </c>
      <c r="D74">
        <v>60</v>
      </c>
      <c r="E74">
        <v>7</v>
      </c>
      <c r="F74" t="s">
        <v>436</v>
      </c>
    </row>
    <row r="75" spans="1:6" x14ac:dyDescent="0.25">
      <c r="A75" t="s">
        <v>428</v>
      </c>
      <c r="B75" t="s">
        <v>136</v>
      </c>
      <c r="C75" t="s">
        <v>902</v>
      </c>
      <c r="D75">
        <v>60</v>
      </c>
      <c r="E75">
        <v>7</v>
      </c>
      <c r="F75" t="s">
        <v>438</v>
      </c>
    </row>
    <row r="76" spans="1:6" x14ac:dyDescent="0.25">
      <c r="A76" t="s">
        <v>427</v>
      </c>
      <c r="B76" t="s">
        <v>136</v>
      </c>
      <c r="C76" t="s">
        <v>1158</v>
      </c>
      <c r="D76">
        <v>60</v>
      </c>
      <c r="E76">
        <v>7</v>
      </c>
      <c r="F76" t="s">
        <v>434</v>
      </c>
    </row>
    <row r="77" spans="1:6" x14ac:dyDescent="0.25">
      <c r="A77" t="s">
        <v>425</v>
      </c>
      <c r="B77" t="s">
        <v>136</v>
      </c>
      <c r="C77" t="s">
        <v>1075</v>
      </c>
      <c r="D77">
        <v>60</v>
      </c>
      <c r="E77">
        <v>7</v>
      </c>
      <c r="F77" t="s">
        <v>518</v>
      </c>
    </row>
    <row r="78" spans="1:6" x14ac:dyDescent="0.25">
      <c r="A78" t="s">
        <v>423</v>
      </c>
      <c r="B78" t="s">
        <v>136</v>
      </c>
      <c r="C78" t="s">
        <v>989</v>
      </c>
      <c r="D78">
        <v>60</v>
      </c>
      <c r="E78">
        <v>7</v>
      </c>
      <c r="F78" t="s">
        <v>426</v>
      </c>
    </row>
    <row r="79" spans="1:6" x14ac:dyDescent="0.25">
      <c r="A79" t="s">
        <v>421</v>
      </c>
      <c r="B79" t="s">
        <v>136</v>
      </c>
      <c r="C79" t="s">
        <v>1157</v>
      </c>
      <c r="D79">
        <v>60</v>
      </c>
      <c r="E79">
        <v>7</v>
      </c>
      <c r="F79" t="s">
        <v>510</v>
      </c>
    </row>
    <row r="80" spans="1:6" x14ac:dyDescent="0.25">
      <c r="A80" t="s">
        <v>419</v>
      </c>
      <c r="B80" t="s">
        <v>136</v>
      </c>
      <c r="C80" t="s">
        <v>1156</v>
      </c>
      <c r="D80">
        <v>60</v>
      </c>
      <c r="E80">
        <v>7</v>
      </c>
      <c r="F80" t="s">
        <v>506</v>
      </c>
    </row>
    <row r="81" spans="1:6" x14ac:dyDescent="0.25">
      <c r="A81" t="s">
        <v>417</v>
      </c>
      <c r="B81" t="s">
        <v>136</v>
      </c>
      <c r="C81" t="s">
        <v>1117</v>
      </c>
      <c r="D81">
        <v>60</v>
      </c>
      <c r="E81">
        <v>7</v>
      </c>
      <c r="F81" t="s">
        <v>160</v>
      </c>
    </row>
    <row r="82" spans="1:6" x14ac:dyDescent="0.25">
      <c r="A82" t="s">
        <v>161</v>
      </c>
      <c r="B82" t="s">
        <v>136</v>
      </c>
      <c r="C82" t="s">
        <v>1078</v>
      </c>
      <c r="D82">
        <v>60</v>
      </c>
      <c r="E82">
        <v>7</v>
      </c>
      <c r="F82" t="s">
        <v>424</v>
      </c>
    </row>
    <row r="83" spans="1:6" x14ac:dyDescent="0.25">
      <c r="A83" t="s">
        <v>413</v>
      </c>
      <c r="B83" t="s">
        <v>136</v>
      </c>
      <c r="C83" t="s">
        <v>1155</v>
      </c>
      <c r="D83">
        <v>60</v>
      </c>
      <c r="E83">
        <v>3</v>
      </c>
      <c r="F83" t="s">
        <v>641</v>
      </c>
    </row>
    <row r="84" spans="1:6" x14ac:dyDescent="0.25">
      <c r="A84" t="s">
        <v>411</v>
      </c>
      <c r="B84" t="s">
        <v>136</v>
      </c>
      <c r="C84" t="s">
        <v>1072</v>
      </c>
      <c r="D84">
        <v>60</v>
      </c>
      <c r="E84">
        <v>7</v>
      </c>
      <c r="F84" t="s">
        <v>162</v>
      </c>
    </row>
    <row r="85" spans="1:6" x14ac:dyDescent="0.25">
      <c r="A85" t="s">
        <v>409</v>
      </c>
      <c r="B85" t="s">
        <v>136</v>
      </c>
      <c r="C85" t="s">
        <v>1154</v>
      </c>
      <c r="D85">
        <v>60</v>
      </c>
      <c r="E85">
        <v>7</v>
      </c>
      <c r="F85" t="s">
        <v>416</v>
      </c>
    </row>
    <row r="86" spans="1:6" x14ac:dyDescent="0.25">
      <c r="A86" t="s">
        <v>407</v>
      </c>
      <c r="B86" t="s">
        <v>136</v>
      </c>
      <c r="C86" t="s">
        <v>1143</v>
      </c>
      <c r="D86">
        <v>60</v>
      </c>
      <c r="E86">
        <v>7</v>
      </c>
      <c r="F86" t="s">
        <v>158</v>
      </c>
    </row>
    <row r="87" spans="1:6" x14ac:dyDescent="0.25">
      <c r="A87" t="s">
        <v>405</v>
      </c>
      <c r="B87" t="s">
        <v>136</v>
      </c>
      <c r="C87" t="s">
        <v>1153</v>
      </c>
      <c r="D87">
        <v>60</v>
      </c>
      <c r="E87">
        <v>7</v>
      </c>
      <c r="F87" t="s">
        <v>156</v>
      </c>
    </row>
    <row r="88" spans="1:6" x14ac:dyDescent="0.25">
      <c r="A88" t="s">
        <v>403</v>
      </c>
      <c r="B88" t="s">
        <v>136</v>
      </c>
      <c r="C88" t="s">
        <v>1152</v>
      </c>
      <c r="D88">
        <v>50</v>
      </c>
      <c r="E88">
        <v>10</v>
      </c>
      <c r="F88" t="s">
        <v>604</v>
      </c>
    </row>
    <row r="89" spans="1:6" x14ac:dyDescent="0.25">
      <c r="A89" t="s">
        <v>399</v>
      </c>
      <c r="B89" t="s">
        <v>136</v>
      </c>
      <c r="C89" t="s">
        <v>928</v>
      </c>
      <c r="D89">
        <v>50</v>
      </c>
      <c r="E89">
        <v>3</v>
      </c>
      <c r="F89" t="s">
        <v>621</v>
      </c>
    </row>
    <row r="90" spans="1:6" x14ac:dyDescent="0.25">
      <c r="A90" t="s">
        <v>397</v>
      </c>
      <c r="B90" t="s">
        <v>136</v>
      </c>
      <c r="C90" t="s">
        <v>1121</v>
      </c>
      <c r="D90">
        <v>40</v>
      </c>
      <c r="E90">
        <v>3</v>
      </c>
      <c r="F90" t="s">
        <v>625</v>
      </c>
    </row>
    <row r="91" spans="1:6" x14ac:dyDescent="0.25">
      <c r="A91" t="s">
        <v>395</v>
      </c>
      <c r="B91" t="s">
        <v>136</v>
      </c>
      <c r="C91" t="s">
        <v>1129</v>
      </c>
      <c r="D91">
        <v>60</v>
      </c>
      <c r="E91">
        <v>9</v>
      </c>
      <c r="F91" t="s">
        <v>398</v>
      </c>
    </row>
    <row r="92" spans="1:6" x14ac:dyDescent="0.25">
      <c r="A92" t="s">
        <v>393</v>
      </c>
      <c r="B92" t="s">
        <v>136</v>
      </c>
      <c r="C92" t="s">
        <v>952</v>
      </c>
      <c r="D92">
        <v>40</v>
      </c>
      <c r="E92">
        <v>5</v>
      </c>
      <c r="F92" t="s">
        <v>394</v>
      </c>
    </row>
    <row r="93" spans="1:6" x14ac:dyDescent="0.25">
      <c r="A93" t="s">
        <v>391</v>
      </c>
      <c r="B93" t="s">
        <v>136</v>
      </c>
      <c r="C93" t="s">
        <v>1056</v>
      </c>
      <c r="D93">
        <v>40</v>
      </c>
      <c r="E93">
        <v>5</v>
      </c>
      <c r="F93" t="s">
        <v>392</v>
      </c>
    </row>
    <row r="94" spans="1:6" x14ac:dyDescent="0.25">
      <c r="A94" t="s">
        <v>389</v>
      </c>
      <c r="B94" t="s">
        <v>136</v>
      </c>
      <c r="C94" t="s">
        <v>1151</v>
      </c>
      <c r="D94">
        <v>40</v>
      </c>
      <c r="E94">
        <v>5</v>
      </c>
      <c r="F94" t="s">
        <v>390</v>
      </c>
    </row>
    <row r="95" spans="1:6" x14ac:dyDescent="0.25">
      <c r="A95" t="s">
        <v>387</v>
      </c>
      <c r="B95" t="s">
        <v>136</v>
      </c>
      <c r="C95" t="s">
        <v>1150</v>
      </c>
      <c r="D95">
        <v>40</v>
      </c>
      <c r="E95">
        <v>5</v>
      </c>
      <c r="F95" t="s">
        <v>388</v>
      </c>
    </row>
    <row r="96" spans="1:6" x14ac:dyDescent="0.25">
      <c r="A96" t="s">
        <v>385</v>
      </c>
      <c r="B96" t="s">
        <v>136</v>
      </c>
      <c r="C96" t="s">
        <v>1149</v>
      </c>
      <c r="D96">
        <v>40</v>
      </c>
      <c r="E96">
        <v>5</v>
      </c>
      <c r="F96" t="s">
        <v>386</v>
      </c>
    </row>
    <row r="97" spans="1:6" x14ac:dyDescent="0.25">
      <c r="A97" t="s">
        <v>383</v>
      </c>
      <c r="B97" t="s">
        <v>136</v>
      </c>
      <c r="C97" t="s">
        <v>902</v>
      </c>
      <c r="D97">
        <v>40</v>
      </c>
      <c r="E97">
        <v>5</v>
      </c>
      <c r="F97" t="s">
        <v>384</v>
      </c>
    </row>
    <row r="98" spans="1:6" x14ac:dyDescent="0.25">
      <c r="A98" t="s">
        <v>381</v>
      </c>
      <c r="B98" t="s">
        <v>136</v>
      </c>
      <c r="C98" t="s">
        <v>1148</v>
      </c>
      <c r="D98">
        <v>40</v>
      </c>
      <c r="E98">
        <v>5</v>
      </c>
      <c r="F98" t="s">
        <v>728</v>
      </c>
    </row>
    <row r="99" spans="1:6" x14ac:dyDescent="0.25">
      <c r="A99" t="s">
        <v>379</v>
      </c>
      <c r="B99" t="s">
        <v>136</v>
      </c>
      <c r="C99" t="s">
        <v>1147</v>
      </c>
      <c r="D99">
        <v>40</v>
      </c>
      <c r="E99">
        <v>15</v>
      </c>
      <c r="F99" t="s">
        <v>380</v>
      </c>
    </row>
    <row r="100" spans="1:6" x14ac:dyDescent="0.25">
      <c r="A100" t="s">
        <v>377</v>
      </c>
      <c r="B100" t="s">
        <v>136</v>
      </c>
      <c r="C100" t="s">
        <v>1146</v>
      </c>
      <c r="D100">
        <v>40</v>
      </c>
      <c r="E100">
        <v>15</v>
      </c>
      <c r="F100" t="s">
        <v>378</v>
      </c>
    </row>
    <row r="101" spans="1:6" x14ac:dyDescent="0.25">
      <c r="A101" t="s">
        <v>375</v>
      </c>
      <c r="B101" t="s">
        <v>136</v>
      </c>
      <c r="C101" t="s">
        <v>1145</v>
      </c>
      <c r="D101">
        <v>40</v>
      </c>
      <c r="E101">
        <v>5</v>
      </c>
      <c r="F101" t="s">
        <v>376</v>
      </c>
    </row>
    <row r="102" spans="1:6" x14ac:dyDescent="0.25">
      <c r="A102" t="s">
        <v>373</v>
      </c>
      <c r="B102" t="s">
        <v>136</v>
      </c>
      <c r="C102" t="s">
        <v>1144</v>
      </c>
      <c r="D102">
        <v>25</v>
      </c>
      <c r="E102">
        <v>5</v>
      </c>
      <c r="F102" t="s">
        <v>374</v>
      </c>
    </row>
    <row r="103" spans="1:6" x14ac:dyDescent="0.25">
      <c r="A103" t="s">
        <v>371</v>
      </c>
      <c r="B103" t="s">
        <v>136</v>
      </c>
      <c r="C103" t="s">
        <v>1143</v>
      </c>
      <c r="D103">
        <v>40</v>
      </c>
      <c r="E103">
        <v>3</v>
      </c>
      <c r="F103" t="s">
        <v>372</v>
      </c>
    </row>
    <row r="104" spans="1:6" x14ac:dyDescent="0.25">
      <c r="A104" t="s">
        <v>369</v>
      </c>
      <c r="B104" t="s">
        <v>136</v>
      </c>
      <c r="C104" t="s">
        <v>1142</v>
      </c>
      <c r="D104">
        <v>70</v>
      </c>
      <c r="E104">
        <v>3</v>
      </c>
      <c r="F104" t="s">
        <v>370</v>
      </c>
    </row>
    <row r="105" spans="1:6" x14ac:dyDescent="0.25">
      <c r="A105" t="s">
        <v>367</v>
      </c>
      <c r="B105" t="s">
        <v>136</v>
      </c>
      <c r="C105" t="s">
        <v>1141</v>
      </c>
      <c r="D105">
        <v>70</v>
      </c>
      <c r="E105">
        <v>3</v>
      </c>
      <c r="F105" t="s">
        <v>368</v>
      </c>
    </row>
    <row r="106" spans="1:6" x14ac:dyDescent="0.25">
      <c r="A106" t="s">
        <v>365</v>
      </c>
      <c r="B106" t="s">
        <v>136</v>
      </c>
      <c r="C106" t="s">
        <v>1140</v>
      </c>
      <c r="D106">
        <v>60</v>
      </c>
      <c r="E106">
        <v>3</v>
      </c>
      <c r="F106" t="s">
        <v>366</v>
      </c>
    </row>
    <row r="107" spans="1:6" x14ac:dyDescent="0.25">
      <c r="A107" t="s">
        <v>363</v>
      </c>
      <c r="B107" t="s">
        <v>136</v>
      </c>
      <c r="C107" t="s">
        <v>1139</v>
      </c>
      <c r="D107">
        <v>60</v>
      </c>
      <c r="E107">
        <v>3</v>
      </c>
      <c r="F107" t="s">
        <v>364</v>
      </c>
    </row>
    <row r="108" spans="1:6" x14ac:dyDescent="0.25">
      <c r="A108" t="s">
        <v>361</v>
      </c>
      <c r="B108" t="s">
        <v>136</v>
      </c>
      <c r="C108" t="s">
        <v>1138</v>
      </c>
      <c r="D108">
        <v>60</v>
      </c>
      <c r="E108">
        <v>3</v>
      </c>
      <c r="F108" t="s">
        <v>362</v>
      </c>
    </row>
    <row r="109" spans="1:6" x14ac:dyDescent="0.25">
      <c r="A109" t="s">
        <v>359</v>
      </c>
      <c r="B109" t="s">
        <v>136</v>
      </c>
      <c r="C109" t="s">
        <v>1137</v>
      </c>
      <c r="D109">
        <v>60</v>
      </c>
      <c r="E109">
        <v>3</v>
      </c>
      <c r="F109" t="s">
        <v>360</v>
      </c>
    </row>
    <row r="110" spans="1:6" x14ac:dyDescent="0.25">
      <c r="A110" t="s">
        <v>357</v>
      </c>
      <c r="B110" t="s">
        <v>136</v>
      </c>
      <c r="C110" t="s">
        <v>1136</v>
      </c>
      <c r="D110">
        <v>60</v>
      </c>
      <c r="E110">
        <v>3</v>
      </c>
      <c r="F110" t="s">
        <v>358</v>
      </c>
    </row>
    <row r="111" spans="1:6" x14ac:dyDescent="0.25">
      <c r="A111" t="s">
        <v>355</v>
      </c>
      <c r="B111" t="s">
        <v>136</v>
      </c>
      <c r="C111" t="s">
        <v>1135</v>
      </c>
      <c r="D111">
        <v>60</v>
      </c>
      <c r="E111">
        <v>3</v>
      </c>
      <c r="F111" t="s">
        <v>356</v>
      </c>
    </row>
    <row r="112" spans="1:6" x14ac:dyDescent="0.25">
      <c r="A112" t="s">
        <v>353</v>
      </c>
      <c r="B112" t="s">
        <v>136</v>
      </c>
      <c r="C112" t="s">
        <v>1134</v>
      </c>
      <c r="D112">
        <v>60</v>
      </c>
      <c r="E112">
        <v>3</v>
      </c>
      <c r="F112" t="s">
        <v>354</v>
      </c>
    </row>
    <row r="113" spans="1:6" x14ac:dyDescent="0.25">
      <c r="A113" t="s">
        <v>351</v>
      </c>
      <c r="B113" t="s">
        <v>136</v>
      </c>
      <c r="C113" t="s">
        <v>1133</v>
      </c>
      <c r="D113">
        <v>60</v>
      </c>
      <c r="E113">
        <v>3</v>
      </c>
      <c r="F113" t="s">
        <v>352</v>
      </c>
    </row>
    <row r="114" spans="1:6" x14ac:dyDescent="0.25">
      <c r="A114" t="s">
        <v>349</v>
      </c>
      <c r="B114" t="s">
        <v>136</v>
      </c>
      <c r="C114" t="s">
        <v>1132</v>
      </c>
      <c r="D114">
        <v>60</v>
      </c>
      <c r="E114">
        <v>3</v>
      </c>
      <c r="F114" t="s">
        <v>350</v>
      </c>
    </row>
    <row r="115" spans="1:6" x14ac:dyDescent="0.25">
      <c r="A115" t="s">
        <v>347</v>
      </c>
      <c r="B115" t="s">
        <v>136</v>
      </c>
      <c r="C115" t="s">
        <v>1103</v>
      </c>
      <c r="D115">
        <v>60</v>
      </c>
      <c r="E115">
        <v>3</v>
      </c>
      <c r="F115" t="s">
        <v>348</v>
      </c>
    </row>
    <row r="116" spans="1:6" x14ac:dyDescent="0.25">
      <c r="A116" t="s">
        <v>345</v>
      </c>
      <c r="B116" t="s">
        <v>136</v>
      </c>
      <c r="C116" t="s">
        <v>1131</v>
      </c>
      <c r="D116">
        <v>40</v>
      </c>
      <c r="E116">
        <v>3</v>
      </c>
      <c r="F116" t="s">
        <v>746</v>
      </c>
    </row>
    <row r="117" spans="1:6" x14ac:dyDescent="0.25">
      <c r="A117" t="s">
        <v>343</v>
      </c>
      <c r="B117" t="s">
        <v>136</v>
      </c>
      <c r="C117" t="s">
        <v>1011</v>
      </c>
      <c r="D117">
        <v>40</v>
      </c>
      <c r="E117">
        <v>1</v>
      </c>
      <c r="F117" t="s">
        <v>344</v>
      </c>
    </row>
    <row r="118" spans="1:6" x14ac:dyDescent="0.25">
      <c r="A118" t="s">
        <v>341</v>
      </c>
      <c r="B118" t="s">
        <v>136</v>
      </c>
      <c r="C118" t="s">
        <v>1130</v>
      </c>
      <c r="D118">
        <v>60</v>
      </c>
      <c r="E118">
        <v>9</v>
      </c>
      <c r="F118" t="s">
        <v>400</v>
      </c>
    </row>
    <row r="119" spans="1:6" x14ac:dyDescent="0.25">
      <c r="A119" t="s">
        <v>339</v>
      </c>
      <c r="B119" t="s">
        <v>136</v>
      </c>
      <c r="C119" t="s">
        <v>1129</v>
      </c>
      <c r="D119">
        <v>40</v>
      </c>
      <c r="E119">
        <v>1</v>
      </c>
      <c r="F119" t="s">
        <v>340</v>
      </c>
    </row>
    <row r="120" spans="1:6" x14ac:dyDescent="0.25">
      <c r="A120" t="s">
        <v>337</v>
      </c>
      <c r="B120" t="s">
        <v>136</v>
      </c>
      <c r="C120" t="s">
        <v>963</v>
      </c>
      <c r="D120">
        <v>40</v>
      </c>
      <c r="E120">
        <v>1</v>
      </c>
      <c r="F120" t="s">
        <v>656</v>
      </c>
    </row>
    <row r="121" spans="1:6" x14ac:dyDescent="0.25">
      <c r="A121" t="s">
        <v>335</v>
      </c>
      <c r="B121" t="s">
        <v>136</v>
      </c>
      <c r="C121" t="s">
        <v>1051</v>
      </c>
      <c r="D121">
        <v>40</v>
      </c>
      <c r="E121">
        <v>1</v>
      </c>
      <c r="F121" t="s">
        <v>336</v>
      </c>
    </row>
    <row r="122" spans="1:6" x14ac:dyDescent="0.25">
      <c r="A122" t="s">
        <v>333</v>
      </c>
      <c r="B122" t="s">
        <v>136</v>
      </c>
      <c r="C122" t="s">
        <v>1011</v>
      </c>
      <c r="D122">
        <v>40</v>
      </c>
      <c r="E122">
        <v>1</v>
      </c>
      <c r="F122" t="s">
        <v>334</v>
      </c>
    </row>
    <row r="123" spans="1:6" x14ac:dyDescent="0.25">
      <c r="A123" t="s">
        <v>331</v>
      </c>
      <c r="B123" t="s">
        <v>136</v>
      </c>
      <c r="C123" t="s">
        <v>871</v>
      </c>
      <c r="D123">
        <v>5</v>
      </c>
      <c r="E123">
        <v>1</v>
      </c>
      <c r="F123" t="s">
        <v>599</v>
      </c>
    </row>
    <row r="124" spans="1:6" x14ac:dyDescent="0.25">
      <c r="A124" t="s">
        <v>329</v>
      </c>
      <c r="B124" t="s">
        <v>136</v>
      </c>
      <c r="C124" t="s">
        <v>1128</v>
      </c>
      <c r="D124">
        <v>5</v>
      </c>
      <c r="E124">
        <v>1</v>
      </c>
      <c r="F124" t="s">
        <v>600</v>
      </c>
    </row>
    <row r="125" spans="1:6" x14ac:dyDescent="0.25">
      <c r="A125" t="s">
        <v>327</v>
      </c>
      <c r="B125" t="s">
        <v>136</v>
      </c>
      <c r="C125" t="s">
        <v>1127</v>
      </c>
      <c r="D125">
        <v>5</v>
      </c>
      <c r="E125">
        <v>1</v>
      </c>
      <c r="F125" t="s">
        <v>601</v>
      </c>
    </row>
    <row r="126" spans="1:6" x14ac:dyDescent="0.25">
      <c r="A126" t="s">
        <v>325</v>
      </c>
      <c r="B126" t="s">
        <v>136</v>
      </c>
      <c r="C126" t="s">
        <v>1126</v>
      </c>
      <c r="D126">
        <v>5</v>
      </c>
      <c r="E126">
        <v>1</v>
      </c>
      <c r="F126" t="s">
        <v>602</v>
      </c>
    </row>
    <row r="127" spans="1:6" x14ac:dyDescent="0.25">
      <c r="A127" t="s">
        <v>323</v>
      </c>
      <c r="B127" t="s">
        <v>136</v>
      </c>
      <c r="C127" t="s">
        <v>1125</v>
      </c>
      <c r="D127">
        <v>5</v>
      </c>
      <c r="E127">
        <v>1</v>
      </c>
      <c r="F127" t="s">
        <v>332</v>
      </c>
    </row>
    <row r="128" spans="1:6" x14ac:dyDescent="0.25">
      <c r="A128" t="s">
        <v>321</v>
      </c>
      <c r="B128" t="s">
        <v>136</v>
      </c>
      <c r="C128" t="s">
        <v>1124</v>
      </c>
      <c r="D128">
        <v>5</v>
      </c>
      <c r="E128">
        <v>1</v>
      </c>
      <c r="F128" t="s">
        <v>603</v>
      </c>
    </row>
    <row r="129" spans="1:6" x14ac:dyDescent="0.25">
      <c r="A129" t="s">
        <v>319</v>
      </c>
      <c r="B129" t="s">
        <v>136</v>
      </c>
      <c r="C129" t="s">
        <v>1123</v>
      </c>
      <c r="D129" t="s">
        <v>143</v>
      </c>
      <c r="E129" t="s">
        <v>143</v>
      </c>
      <c r="F129" t="s">
        <v>320</v>
      </c>
    </row>
    <row r="130" spans="1:6" x14ac:dyDescent="0.25">
      <c r="A130" t="s">
        <v>317</v>
      </c>
      <c r="B130" t="s">
        <v>136</v>
      </c>
      <c r="C130" t="s">
        <v>1091</v>
      </c>
      <c r="D130" t="s">
        <v>143</v>
      </c>
      <c r="E130" t="s">
        <v>143</v>
      </c>
      <c r="F130" t="s">
        <v>318</v>
      </c>
    </row>
    <row r="131" spans="1:6" x14ac:dyDescent="0.25">
      <c r="A131" t="s">
        <v>315</v>
      </c>
      <c r="B131" t="s">
        <v>136</v>
      </c>
      <c r="C131" t="s">
        <v>1122</v>
      </c>
      <c r="D131" t="s">
        <v>143</v>
      </c>
      <c r="E131" t="s">
        <v>143</v>
      </c>
      <c r="F131" t="s">
        <v>316</v>
      </c>
    </row>
    <row r="132" spans="1:6" x14ac:dyDescent="0.25">
      <c r="A132" t="s">
        <v>313</v>
      </c>
      <c r="B132" t="s">
        <v>136</v>
      </c>
      <c r="C132" t="s">
        <v>1121</v>
      </c>
      <c r="D132">
        <v>5</v>
      </c>
      <c r="E132">
        <v>1</v>
      </c>
      <c r="F132" t="s">
        <v>660</v>
      </c>
    </row>
    <row r="133" spans="1:6" x14ac:dyDescent="0.25">
      <c r="A133" t="s">
        <v>311</v>
      </c>
      <c r="B133" t="s">
        <v>136</v>
      </c>
      <c r="C133" t="s">
        <v>1074</v>
      </c>
      <c r="D133" t="s">
        <v>143</v>
      </c>
      <c r="E133" t="s">
        <v>143</v>
      </c>
      <c r="F133" t="s">
        <v>314</v>
      </c>
    </row>
    <row r="134" spans="1:6" x14ac:dyDescent="0.25">
      <c r="A134" t="s">
        <v>309</v>
      </c>
      <c r="B134" t="s">
        <v>136</v>
      </c>
      <c r="C134" t="s">
        <v>1120</v>
      </c>
      <c r="D134" t="s">
        <v>143</v>
      </c>
      <c r="E134" t="s">
        <v>143</v>
      </c>
      <c r="F134" t="s">
        <v>312</v>
      </c>
    </row>
    <row r="135" spans="1:6" x14ac:dyDescent="0.25">
      <c r="A135" t="s">
        <v>307</v>
      </c>
      <c r="B135" t="s">
        <v>136</v>
      </c>
      <c r="C135" t="s">
        <v>1119</v>
      </c>
      <c r="D135" t="s">
        <v>143</v>
      </c>
      <c r="E135" t="s">
        <v>143</v>
      </c>
      <c r="F135" t="s">
        <v>310</v>
      </c>
    </row>
    <row r="136" spans="1:6" x14ac:dyDescent="0.25">
      <c r="A136" t="s">
        <v>305</v>
      </c>
      <c r="B136" t="s">
        <v>136</v>
      </c>
      <c r="C136" t="s">
        <v>1118</v>
      </c>
      <c r="D136">
        <v>40</v>
      </c>
      <c r="E136">
        <v>4</v>
      </c>
      <c r="F136" t="s">
        <v>306</v>
      </c>
    </row>
    <row r="137" spans="1:6" x14ac:dyDescent="0.25">
      <c r="A137" t="s">
        <v>303</v>
      </c>
      <c r="B137" t="s">
        <v>136</v>
      </c>
      <c r="C137" t="s">
        <v>1117</v>
      </c>
      <c r="D137">
        <v>40</v>
      </c>
      <c r="E137">
        <v>4</v>
      </c>
      <c r="F137" t="s">
        <v>74</v>
      </c>
    </row>
    <row r="138" spans="1:6" x14ac:dyDescent="0.25">
      <c r="A138" t="s">
        <v>301</v>
      </c>
      <c r="B138" t="s">
        <v>136</v>
      </c>
      <c r="C138" t="s">
        <v>1021</v>
      </c>
      <c r="D138">
        <v>40</v>
      </c>
      <c r="E138">
        <v>3</v>
      </c>
      <c r="F138" t="s">
        <v>304</v>
      </c>
    </row>
    <row r="139" spans="1:6" x14ac:dyDescent="0.25">
      <c r="A139" t="s">
        <v>299</v>
      </c>
      <c r="B139" t="s">
        <v>136</v>
      </c>
      <c r="C139" t="s">
        <v>1054</v>
      </c>
      <c r="D139">
        <v>40</v>
      </c>
      <c r="E139">
        <v>3</v>
      </c>
      <c r="F139" t="s">
        <v>302</v>
      </c>
    </row>
    <row r="140" spans="1:6" x14ac:dyDescent="0.25">
      <c r="A140" t="s">
        <v>295</v>
      </c>
      <c r="B140" t="s">
        <v>136</v>
      </c>
      <c r="C140" t="s">
        <v>1116</v>
      </c>
      <c r="D140">
        <v>50</v>
      </c>
      <c r="E140">
        <v>10</v>
      </c>
      <c r="F140" t="s">
        <v>613</v>
      </c>
    </row>
    <row r="141" spans="1:6" x14ac:dyDescent="0.25">
      <c r="A141" t="s">
        <v>293</v>
      </c>
      <c r="B141" t="s">
        <v>136</v>
      </c>
      <c r="C141" t="s">
        <v>1115</v>
      </c>
      <c r="D141">
        <v>50</v>
      </c>
      <c r="E141">
        <v>20</v>
      </c>
      <c r="F141" t="s">
        <v>615</v>
      </c>
    </row>
    <row r="142" spans="1:6" x14ac:dyDescent="0.25">
      <c r="A142" t="s">
        <v>291</v>
      </c>
      <c r="B142" t="s">
        <v>136</v>
      </c>
      <c r="C142" t="s">
        <v>1114</v>
      </c>
      <c r="D142">
        <v>50</v>
      </c>
      <c r="E142">
        <v>15</v>
      </c>
      <c r="F142" t="s">
        <v>637</v>
      </c>
    </row>
    <row r="143" spans="1:6" x14ac:dyDescent="0.25">
      <c r="A143" t="s">
        <v>289</v>
      </c>
      <c r="B143" t="s">
        <v>136</v>
      </c>
      <c r="C143" t="s">
        <v>943</v>
      </c>
      <c r="D143">
        <v>40</v>
      </c>
      <c r="E143">
        <v>3</v>
      </c>
      <c r="F143" t="s">
        <v>622</v>
      </c>
    </row>
    <row r="144" spans="1:6" x14ac:dyDescent="0.25">
      <c r="A144" t="s">
        <v>287</v>
      </c>
      <c r="B144" t="s">
        <v>136</v>
      </c>
      <c r="C144" t="s">
        <v>1113</v>
      </c>
      <c r="D144">
        <v>40</v>
      </c>
      <c r="E144">
        <v>9</v>
      </c>
      <c r="F144" t="s">
        <v>834</v>
      </c>
    </row>
    <row r="145" spans="1:6" x14ac:dyDescent="0.25">
      <c r="A145" t="s">
        <v>285</v>
      </c>
      <c r="B145" t="s">
        <v>136</v>
      </c>
      <c r="C145" t="s">
        <v>1112</v>
      </c>
      <c r="D145">
        <v>40</v>
      </c>
      <c r="E145">
        <v>5</v>
      </c>
      <c r="F145" t="s">
        <v>286</v>
      </c>
    </row>
    <row r="146" spans="1:6" x14ac:dyDescent="0.25">
      <c r="A146" t="s">
        <v>283</v>
      </c>
      <c r="B146" t="s">
        <v>136</v>
      </c>
      <c r="C146" t="s">
        <v>1111</v>
      </c>
      <c r="D146">
        <v>40</v>
      </c>
      <c r="E146">
        <v>5</v>
      </c>
      <c r="F146" t="s">
        <v>284</v>
      </c>
    </row>
    <row r="147" spans="1:6" x14ac:dyDescent="0.25">
      <c r="A147" t="s">
        <v>281</v>
      </c>
      <c r="B147" t="s">
        <v>136</v>
      </c>
      <c r="C147" t="s">
        <v>1110</v>
      </c>
      <c r="D147">
        <v>40</v>
      </c>
      <c r="E147">
        <v>5</v>
      </c>
      <c r="F147" t="s">
        <v>282</v>
      </c>
    </row>
    <row r="148" spans="1:6" x14ac:dyDescent="0.25">
      <c r="A148" t="s">
        <v>280</v>
      </c>
      <c r="B148" t="s">
        <v>136</v>
      </c>
      <c r="C148" t="s">
        <v>1109</v>
      </c>
      <c r="D148">
        <v>40</v>
      </c>
      <c r="E148">
        <v>5</v>
      </c>
      <c r="F148" t="s">
        <v>80</v>
      </c>
    </row>
    <row r="149" spans="1:6" x14ac:dyDescent="0.25">
      <c r="A149" t="s">
        <v>279</v>
      </c>
      <c r="B149" t="s">
        <v>136</v>
      </c>
      <c r="C149" t="s">
        <v>1107</v>
      </c>
      <c r="D149">
        <v>40</v>
      </c>
      <c r="E149">
        <v>1</v>
      </c>
      <c r="F149" t="s">
        <v>1108</v>
      </c>
    </row>
    <row r="150" spans="1:6" x14ac:dyDescent="0.25">
      <c r="A150" t="s">
        <v>277</v>
      </c>
      <c r="B150" t="s">
        <v>136</v>
      </c>
      <c r="C150" t="s">
        <v>1051</v>
      </c>
      <c r="D150">
        <v>40</v>
      </c>
      <c r="E150">
        <v>5</v>
      </c>
      <c r="F150" t="s">
        <v>635</v>
      </c>
    </row>
    <row r="151" spans="1:6" x14ac:dyDescent="0.25">
      <c r="A151" t="s">
        <v>275</v>
      </c>
      <c r="B151" t="s">
        <v>136</v>
      </c>
      <c r="C151" t="s">
        <v>875</v>
      </c>
      <c r="D151">
        <v>40</v>
      </c>
      <c r="E151">
        <v>3</v>
      </c>
      <c r="F151" t="s">
        <v>276</v>
      </c>
    </row>
    <row r="152" spans="1:6" x14ac:dyDescent="0.25">
      <c r="A152" t="s">
        <v>273</v>
      </c>
      <c r="B152" t="s">
        <v>136</v>
      </c>
      <c r="C152" t="s">
        <v>1106</v>
      </c>
      <c r="D152">
        <v>40</v>
      </c>
      <c r="E152">
        <v>3</v>
      </c>
      <c r="F152" t="s">
        <v>274</v>
      </c>
    </row>
    <row r="153" spans="1:6" x14ac:dyDescent="0.25">
      <c r="A153" t="s">
        <v>271</v>
      </c>
      <c r="B153" t="s">
        <v>136</v>
      </c>
      <c r="C153" t="s">
        <v>1024</v>
      </c>
      <c r="D153">
        <v>40</v>
      </c>
      <c r="E153">
        <v>3</v>
      </c>
      <c r="F153" t="s">
        <v>272</v>
      </c>
    </row>
    <row r="154" spans="1:6" x14ac:dyDescent="0.25">
      <c r="A154" t="s">
        <v>269</v>
      </c>
      <c r="B154" t="s">
        <v>136</v>
      </c>
      <c r="C154" t="s">
        <v>1104</v>
      </c>
      <c r="D154">
        <v>40</v>
      </c>
      <c r="E154">
        <v>1</v>
      </c>
      <c r="F154" t="s">
        <v>1105</v>
      </c>
    </row>
    <row r="155" spans="1:6" x14ac:dyDescent="0.25">
      <c r="A155" t="s">
        <v>267</v>
      </c>
      <c r="B155" t="s">
        <v>136</v>
      </c>
      <c r="C155" t="s">
        <v>1103</v>
      </c>
      <c r="D155">
        <v>5</v>
      </c>
      <c r="E155">
        <v>1</v>
      </c>
      <c r="F155" t="s">
        <v>266</v>
      </c>
    </row>
    <row r="156" spans="1:6" x14ac:dyDescent="0.25">
      <c r="A156" t="s">
        <v>265</v>
      </c>
      <c r="B156" t="s">
        <v>136</v>
      </c>
      <c r="C156" t="s">
        <v>1081</v>
      </c>
      <c r="D156">
        <v>5</v>
      </c>
      <c r="E156">
        <v>1</v>
      </c>
      <c r="F156" t="s">
        <v>609</v>
      </c>
    </row>
    <row r="157" spans="1:6" x14ac:dyDescent="0.25">
      <c r="A157" t="s">
        <v>263</v>
      </c>
      <c r="B157" t="s">
        <v>136</v>
      </c>
      <c r="C157" t="s">
        <v>1102</v>
      </c>
      <c r="D157">
        <v>5</v>
      </c>
      <c r="E157">
        <v>1</v>
      </c>
      <c r="F157" t="s">
        <v>610</v>
      </c>
    </row>
    <row r="158" spans="1:6" x14ac:dyDescent="0.25">
      <c r="A158" t="s">
        <v>261</v>
      </c>
      <c r="B158" t="s">
        <v>136</v>
      </c>
      <c r="C158" t="s">
        <v>1101</v>
      </c>
      <c r="D158">
        <v>5</v>
      </c>
      <c r="E158">
        <v>1</v>
      </c>
      <c r="F158" t="s">
        <v>226</v>
      </c>
    </row>
    <row r="159" spans="1:6" x14ac:dyDescent="0.25">
      <c r="A159" t="s">
        <v>259</v>
      </c>
      <c r="B159" t="s">
        <v>136</v>
      </c>
      <c r="C159" t="s">
        <v>920</v>
      </c>
      <c r="D159">
        <v>5</v>
      </c>
      <c r="E159">
        <v>1</v>
      </c>
      <c r="F159" t="s">
        <v>270</v>
      </c>
    </row>
    <row r="160" spans="1:6" x14ac:dyDescent="0.25">
      <c r="A160" t="s">
        <v>257</v>
      </c>
      <c r="B160" t="s">
        <v>136</v>
      </c>
      <c r="C160" t="s">
        <v>1079</v>
      </c>
      <c r="D160">
        <v>5</v>
      </c>
      <c r="E160">
        <v>1</v>
      </c>
      <c r="F160" t="s">
        <v>611</v>
      </c>
    </row>
    <row r="161" spans="1:6" x14ac:dyDescent="0.25">
      <c r="A161" t="s">
        <v>255</v>
      </c>
      <c r="B161" t="s">
        <v>136</v>
      </c>
      <c r="C161" t="s">
        <v>1030</v>
      </c>
      <c r="D161">
        <v>40</v>
      </c>
      <c r="E161">
        <v>5</v>
      </c>
      <c r="F161" t="s">
        <v>256</v>
      </c>
    </row>
    <row r="162" spans="1:6" x14ac:dyDescent="0.25">
      <c r="A162" t="s">
        <v>253</v>
      </c>
      <c r="B162" t="s">
        <v>136</v>
      </c>
      <c r="C162" t="s">
        <v>1024</v>
      </c>
      <c r="D162">
        <v>5</v>
      </c>
      <c r="E162">
        <v>1</v>
      </c>
      <c r="F162" t="s">
        <v>612</v>
      </c>
    </row>
    <row r="163" spans="1:6" x14ac:dyDescent="0.25">
      <c r="A163" t="s">
        <v>251</v>
      </c>
      <c r="B163" t="s">
        <v>136</v>
      </c>
      <c r="C163" t="s">
        <v>1100</v>
      </c>
      <c r="D163">
        <v>5</v>
      </c>
      <c r="E163">
        <v>1</v>
      </c>
      <c r="F163" t="s">
        <v>252</v>
      </c>
    </row>
    <row r="164" spans="1:6" x14ac:dyDescent="0.25">
      <c r="A164" t="s">
        <v>249</v>
      </c>
      <c r="B164" t="s">
        <v>136</v>
      </c>
      <c r="C164" t="s">
        <v>938</v>
      </c>
      <c r="D164">
        <v>5</v>
      </c>
      <c r="E164">
        <v>1</v>
      </c>
      <c r="F164" t="s">
        <v>250</v>
      </c>
    </row>
    <row r="165" spans="1:6" x14ac:dyDescent="0.25">
      <c r="A165" t="s">
        <v>247</v>
      </c>
      <c r="B165" t="s">
        <v>136</v>
      </c>
      <c r="C165" t="s">
        <v>1099</v>
      </c>
      <c r="D165" t="s">
        <v>143</v>
      </c>
      <c r="E165" t="s">
        <v>143</v>
      </c>
      <c r="F165" t="s">
        <v>248</v>
      </c>
    </row>
    <row r="166" spans="1:6" x14ac:dyDescent="0.25">
      <c r="A166" t="s">
        <v>245</v>
      </c>
      <c r="B166" t="s">
        <v>136</v>
      </c>
      <c r="C166" t="s">
        <v>1098</v>
      </c>
      <c r="D166" t="s">
        <v>143</v>
      </c>
      <c r="E166" t="s">
        <v>143</v>
      </c>
      <c r="F166" t="s">
        <v>617</v>
      </c>
    </row>
    <row r="167" spans="1:6" x14ac:dyDescent="0.25">
      <c r="A167" t="s">
        <v>243</v>
      </c>
      <c r="B167" t="s">
        <v>136</v>
      </c>
      <c r="C167" t="s">
        <v>1054</v>
      </c>
      <c r="D167" t="s">
        <v>143</v>
      </c>
      <c r="E167" t="s">
        <v>143</v>
      </c>
      <c r="F167" t="s">
        <v>246</v>
      </c>
    </row>
    <row r="168" spans="1:6" x14ac:dyDescent="0.25">
      <c r="A168" t="s">
        <v>241</v>
      </c>
      <c r="B168" t="s">
        <v>136</v>
      </c>
      <c r="C168" t="s">
        <v>932</v>
      </c>
      <c r="D168" t="s">
        <v>143</v>
      </c>
      <c r="E168" t="s">
        <v>143</v>
      </c>
      <c r="F168" t="s">
        <v>242</v>
      </c>
    </row>
    <row r="169" spans="1:6" x14ac:dyDescent="0.25">
      <c r="A169" t="s">
        <v>239</v>
      </c>
      <c r="B169" t="s">
        <v>136</v>
      </c>
      <c r="C169" t="s">
        <v>1097</v>
      </c>
      <c r="D169" t="s">
        <v>143</v>
      </c>
      <c r="E169" t="s">
        <v>143</v>
      </c>
      <c r="F169" t="s">
        <v>240</v>
      </c>
    </row>
    <row r="170" spans="1:6" x14ac:dyDescent="0.25">
      <c r="A170" t="s">
        <v>237</v>
      </c>
      <c r="B170" t="s">
        <v>136</v>
      </c>
      <c r="C170" t="s">
        <v>1096</v>
      </c>
      <c r="D170" t="s">
        <v>143</v>
      </c>
      <c r="E170" t="s">
        <v>143</v>
      </c>
      <c r="F170" t="s">
        <v>238</v>
      </c>
    </row>
    <row r="171" spans="1:6" x14ac:dyDescent="0.25">
      <c r="A171" t="s">
        <v>235</v>
      </c>
      <c r="B171" t="s">
        <v>136</v>
      </c>
      <c r="C171" t="s">
        <v>1095</v>
      </c>
      <c r="D171" t="s">
        <v>143</v>
      </c>
      <c r="E171" t="s">
        <v>143</v>
      </c>
      <c r="F171" t="s">
        <v>236</v>
      </c>
    </row>
    <row r="172" spans="1:6" x14ac:dyDescent="0.25">
      <c r="A172" t="s">
        <v>233</v>
      </c>
      <c r="B172" t="s">
        <v>136</v>
      </c>
      <c r="C172" t="s">
        <v>1094</v>
      </c>
      <c r="D172" t="s">
        <v>143</v>
      </c>
      <c r="E172" t="s">
        <v>143</v>
      </c>
      <c r="F172" t="s">
        <v>234</v>
      </c>
    </row>
    <row r="173" spans="1:6" x14ac:dyDescent="0.25">
      <c r="A173" t="s">
        <v>231</v>
      </c>
      <c r="B173" t="s">
        <v>136</v>
      </c>
      <c r="C173" t="s">
        <v>1093</v>
      </c>
      <c r="D173" t="s">
        <v>143</v>
      </c>
      <c r="E173" t="s">
        <v>143</v>
      </c>
      <c r="F173" t="s">
        <v>232</v>
      </c>
    </row>
    <row r="174" spans="1:6" x14ac:dyDescent="0.25">
      <c r="A174" t="s">
        <v>229</v>
      </c>
      <c r="B174" t="s">
        <v>136</v>
      </c>
      <c r="C174" t="s">
        <v>1092</v>
      </c>
      <c r="D174" t="s">
        <v>143</v>
      </c>
      <c r="E174" t="s">
        <v>143</v>
      </c>
      <c r="F174" t="s">
        <v>230</v>
      </c>
    </row>
    <row r="175" spans="1:6" x14ac:dyDescent="0.25">
      <c r="A175" t="s">
        <v>227</v>
      </c>
      <c r="B175" t="s">
        <v>136</v>
      </c>
      <c r="C175" t="s">
        <v>1091</v>
      </c>
      <c r="D175" t="s">
        <v>143</v>
      </c>
      <c r="E175" t="s">
        <v>143</v>
      </c>
      <c r="F175" t="s">
        <v>228</v>
      </c>
    </row>
    <row r="176" spans="1:6" x14ac:dyDescent="0.25">
      <c r="A176" t="s">
        <v>225</v>
      </c>
      <c r="B176" t="s">
        <v>136</v>
      </c>
      <c r="C176" t="s">
        <v>896</v>
      </c>
      <c r="D176">
        <v>5</v>
      </c>
      <c r="E176">
        <v>1</v>
      </c>
      <c r="F176" t="s">
        <v>244</v>
      </c>
    </row>
    <row r="177" spans="1:6" x14ac:dyDescent="0.25">
      <c r="A177" t="s">
        <v>223</v>
      </c>
      <c r="B177" t="s">
        <v>136</v>
      </c>
      <c r="C177" t="s">
        <v>1058</v>
      </c>
      <c r="D177" t="s">
        <v>143</v>
      </c>
      <c r="E177" t="s">
        <v>143</v>
      </c>
      <c r="F177" t="s">
        <v>224</v>
      </c>
    </row>
    <row r="178" spans="1:6" x14ac:dyDescent="0.25">
      <c r="A178" t="s">
        <v>221</v>
      </c>
      <c r="B178" t="s">
        <v>136</v>
      </c>
      <c r="C178" t="s">
        <v>1019</v>
      </c>
      <c r="D178" t="s">
        <v>143</v>
      </c>
      <c r="E178" t="s">
        <v>143</v>
      </c>
      <c r="F178" t="s">
        <v>222</v>
      </c>
    </row>
    <row r="179" spans="1:6" x14ac:dyDescent="0.25">
      <c r="A179" t="s">
        <v>219</v>
      </c>
      <c r="B179" t="s">
        <v>136</v>
      </c>
      <c r="C179" t="s">
        <v>900</v>
      </c>
      <c r="D179" t="s">
        <v>143</v>
      </c>
      <c r="E179" t="s">
        <v>143</v>
      </c>
      <c r="F179" t="s">
        <v>218</v>
      </c>
    </row>
    <row r="180" spans="1:6" x14ac:dyDescent="0.25">
      <c r="A180" t="s">
        <v>217</v>
      </c>
      <c r="B180" t="s">
        <v>136</v>
      </c>
      <c r="C180" t="s">
        <v>872</v>
      </c>
      <c r="D180" t="s">
        <v>143</v>
      </c>
      <c r="E180" t="s">
        <v>143</v>
      </c>
      <c r="F180" t="s">
        <v>216</v>
      </c>
    </row>
    <row r="181" spans="1:6" x14ac:dyDescent="0.25">
      <c r="A181" t="s">
        <v>215</v>
      </c>
      <c r="B181" t="s">
        <v>136</v>
      </c>
      <c r="C181" t="s">
        <v>1018</v>
      </c>
      <c r="D181" t="s">
        <v>143</v>
      </c>
      <c r="E181" t="s">
        <v>143</v>
      </c>
      <c r="F181" t="s">
        <v>744</v>
      </c>
    </row>
    <row r="182" spans="1:6" x14ac:dyDescent="0.25">
      <c r="A182" t="s">
        <v>213</v>
      </c>
      <c r="B182" t="s">
        <v>136</v>
      </c>
      <c r="C182" t="s">
        <v>907</v>
      </c>
      <c r="D182" t="s">
        <v>143</v>
      </c>
      <c r="E182" t="s">
        <v>143</v>
      </c>
      <c r="F182" t="s">
        <v>214</v>
      </c>
    </row>
    <row r="183" spans="1:6" x14ac:dyDescent="0.25">
      <c r="A183" t="s">
        <v>211</v>
      </c>
      <c r="B183" t="s">
        <v>136</v>
      </c>
      <c r="C183" t="s">
        <v>873</v>
      </c>
      <c r="D183" t="s">
        <v>143</v>
      </c>
      <c r="E183" t="s">
        <v>143</v>
      </c>
      <c r="F183" t="s">
        <v>212</v>
      </c>
    </row>
    <row r="184" spans="1:6" x14ac:dyDescent="0.25">
      <c r="A184" t="s">
        <v>209</v>
      </c>
      <c r="B184" t="s">
        <v>136</v>
      </c>
      <c r="C184" t="s">
        <v>1090</v>
      </c>
      <c r="D184" t="s">
        <v>143</v>
      </c>
      <c r="E184" t="s">
        <v>143</v>
      </c>
      <c r="F184" t="s">
        <v>210</v>
      </c>
    </row>
    <row r="185" spans="1:6" x14ac:dyDescent="0.25">
      <c r="A185" t="s">
        <v>207</v>
      </c>
      <c r="B185" t="s">
        <v>136</v>
      </c>
      <c r="C185" t="s">
        <v>892</v>
      </c>
      <c r="D185" t="s">
        <v>143</v>
      </c>
      <c r="E185" t="s">
        <v>143</v>
      </c>
      <c r="F185" t="s">
        <v>208</v>
      </c>
    </row>
    <row r="186" spans="1:6" x14ac:dyDescent="0.25">
      <c r="A186" t="s">
        <v>205</v>
      </c>
      <c r="B186" t="s">
        <v>136</v>
      </c>
      <c r="C186" t="s">
        <v>1031</v>
      </c>
      <c r="D186" t="s">
        <v>143</v>
      </c>
      <c r="E186" t="s">
        <v>143</v>
      </c>
      <c r="F186" t="s">
        <v>206</v>
      </c>
    </row>
    <row r="187" spans="1:6" x14ac:dyDescent="0.25">
      <c r="A187" t="s">
        <v>203</v>
      </c>
      <c r="B187" t="s">
        <v>136</v>
      </c>
      <c r="C187" t="s">
        <v>1089</v>
      </c>
      <c r="D187" t="s">
        <v>143</v>
      </c>
      <c r="E187" t="s">
        <v>143</v>
      </c>
      <c r="F187" t="s">
        <v>845</v>
      </c>
    </row>
    <row r="188" spans="1:6" x14ac:dyDescent="0.25">
      <c r="A188" t="s">
        <v>201</v>
      </c>
      <c r="B188" t="s">
        <v>136</v>
      </c>
      <c r="C188" t="s">
        <v>1088</v>
      </c>
      <c r="D188" t="s">
        <v>143</v>
      </c>
      <c r="E188" t="s">
        <v>143</v>
      </c>
      <c r="F188" t="s">
        <v>846</v>
      </c>
    </row>
    <row r="189" spans="1:6" x14ac:dyDescent="0.25">
      <c r="A189" t="s">
        <v>199</v>
      </c>
      <c r="B189" t="s">
        <v>136</v>
      </c>
      <c r="C189" t="s">
        <v>1006</v>
      </c>
      <c r="D189" t="s">
        <v>143</v>
      </c>
      <c r="E189" t="s">
        <v>143</v>
      </c>
      <c r="F189" t="s">
        <v>847</v>
      </c>
    </row>
    <row r="190" spans="1:6" x14ac:dyDescent="0.25">
      <c r="A190" t="s">
        <v>197</v>
      </c>
      <c r="B190" t="s">
        <v>136</v>
      </c>
      <c r="C190" t="s">
        <v>1087</v>
      </c>
      <c r="D190">
        <v>25</v>
      </c>
      <c r="E190">
        <v>5</v>
      </c>
      <c r="F190" t="s">
        <v>202</v>
      </c>
    </row>
    <row r="191" spans="1:6" x14ac:dyDescent="0.25">
      <c r="A191" t="s">
        <v>195</v>
      </c>
      <c r="B191" t="s">
        <v>136</v>
      </c>
      <c r="C191" t="s">
        <v>1018</v>
      </c>
      <c r="D191">
        <v>5</v>
      </c>
      <c r="E191">
        <v>1</v>
      </c>
      <c r="F191" t="s">
        <v>619</v>
      </c>
    </row>
    <row r="192" spans="1:6" x14ac:dyDescent="0.25">
      <c r="A192" t="s">
        <v>193</v>
      </c>
      <c r="B192" t="s">
        <v>136</v>
      </c>
      <c r="C192" t="s">
        <v>900</v>
      </c>
      <c r="D192">
        <v>5</v>
      </c>
      <c r="E192">
        <v>1</v>
      </c>
      <c r="F192" t="s">
        <v>620</v>
      </c>
    </row>
    <row r="193" spans="1:6" x14ac:dyDescent="0.25">
      <c r="A193" t="s">
        <v>191</v>
      </c>
      <c r="B193" t="s">
        <v>136</v>
      </c>
      <c r="C193" t="s">
        <v>1086</v>
      </c>
      <c r="D193">
        <v>5</v>
      </c>
      <c r="E193">
        <v>1</v>
      </c>
      <c r="F193" t="s">
        <v>196</v>
      </c>
    </row>
    <row r="194" spans="1:6" x14ac:dyDescent="0.25">
      <c r="A194" t="s">
        <v>189</v>
      </c>
      <c r="B194" t="s">
        <v>136</v>
      </c>
      <c r="C194" t="s">
        <v>1085</v>
      </c>
      <c r="D194">
        <v>5</v>
      </c>
      <c r="E194">
        <v>1</v>
      </c>
      <c r="F194" t="s">
        <v>194</v>
      </c>
    </row>
    <row r="195" spans="1:6" x14ac:dyDescent="0.25">
      <c r="A195" t="s">
        <v>187</v>
      </c>
      <c r="B195" t="s">
        <v>136</v>
      </c>
      <c r="C195" t="s">
        <v>1018</v>
      </c>
      <c r="D195">
        <v>5</v>
      </c>
      <c r="E195">
        <v>1</v>
      </c>
      <c r="F195" t="s">
        <v>192</v>
      </c>
    </row>
    <row r="196" spans="1:6" x14ac:dyDescent="0.25">
      <c r="A196" t="s">
        <v>185</v>
      </c>
      <c r="B196" t="s">
        <v>136</v>
      </c>
      <c r="C196" t="s">
        <v>1084</v>
      </c>
      <c r="D196" t="s">
        <v>143</v>
      </c>
      <c r="E196" t="s">
        <v>143</v>
      </c>
      <c r="F196" t="s">
        <v>186</v>
      </c>
    </row>
    <row r="197" spans="1:6" x14ac:dyDescent="0.25">
      <c r="A197" t="s">
        <v>183</v>
      </c>
      <c r="B197" t="s">
        <v>136</v>
      </c>
      <c r="C197" t="s">
        <v>1083</v>
      </c>
      <c r="D197" t="s">
        <v>143</v>
      </c>
      <c r="E197" t="s">
        <v>143</v>
      </c>
      <c r="F197" t="s">
        <v>184</v>
      </c>
    </row>
    <row r="198" spans="1:6" x14ac:dyDescent="0.25">
      <c r="A198" t="s">
        <v>181</v>
      </c>
      <c r="B198" t="s">
        <v>136</v>
      </c>
      <c r="C198" t="s">
        <v>904</v>
      </c>
      <c r="D198" t="s">
        <v>143</v>
      </c>
      <c r="E198" t="s">
        <v>143</v>
      </c>
      <c r="F198" t="s">
        <v>182</v>
      </c>
    </row>
    <row r="199" spans="1:6" x14ac:dyDescent="0.25">
      <c r="A199" t="s">
        <v>179</v>
      </c>
      <c r="B199" t="s">
        <v>136</v>
      </c>
      <c r="C199" t="s">
        <v>1082</v>
      </c>
      <c r="D199" t="s">
        <v>143</v>
      </c>
      <c r="E199" t="s">
        <v>143</v>
      </c>
      <c r="F199" t="s">
        <v>180</v>
      </c>
    </row>
    <row r="200" spans="1:6" x14ac:dyDescent="0.25">
      <c r="A200" t="s">
        <v>177</v>
      </c>
      <c r="B200" t="s">
        <v>136</v>
      </c>
      <c r="C200" t="s">
        <v>984</v>
      </c>
      <c r="D200" t="s">
        <v>143</v>
      </c>
      <c r="E200" t="s">
        <v>143</v>
      </c>
      <c r="F200" t="s">
        <v>178</v>
      </c>
    </row>
    <row r="201" spans="1:6" x14ac:dyDescent="0.25">
      <c r="A201" t="s">
        <v>175</v>
      </c>
      <c r="B201" t="s">
        <v>136</v>
      </c>
      <c r="C201" t="s">
        <v>896</v>
      </c>
      <c r="D201" t="s">
        <v>143</v>
      </c>
      <c r="E201" t="s">
        <v>143</v>
      </c>
      <c r="F201" t="s">
        <v>176</v>
      </c>
    </row>
    <row r="202" spans="1:6" x14ac:dyDescent="0.25">
      <c r="A202" t="s">
        <v>173</v>
      </c>
      <c r="B202" t="s">
        <v>136</v>
      </c>
      <c r="C202" t="s">
        <v>1081</v>
      </c>
      <c r="D202">
        <v>60</v>
      </c>
      <c r="E202">
        <v>3</v>
      </c>
      <c r="F202" t="s">
        <v>174</v>
      </c>
    </row>
    <row r="203" spans="1:6" x14ac:dyDescent="0.25">
      <c r="A203" t="s">
        <v>171</v>
      </c>
      <c r="B203" t="s">
        <v>136</v>
      </c>
      <c r="C203" t="s">
        <v>1080</v>
      </c>
      <c r="D203">
        <v>60</v>
      </c>
      <c r="E203">
        <v>3</v>
      </c>
      <c r="F203" t="s">
        <v>172</v>
      </c>
    </row>
    <row r="204" spans="1:6" x14ac:dyDescent="0.25">
      <c r="A204" t="s">
        <v>169</v>
      </c>
      <c r="B204" t="s">
        <v>136</v>
      </c>
      <c r="C204" t="s">
        <v>1079</v>
      </c>
      <c r="D204">
        <v>40</v>
      </c>
      <c r="E204">
        <v>3</v>
      </c>
      <c r="F204" t="s">
        <v>168</v>
      </c>
    </row>
    <row r="205" spans="1:6" x14ac:dyDescent="0.25">
      <c r="A205" t="s">
        <v>167</v>
      </c>
      <c r="B205" t="s">
        <v>136</v>
      </c>
      <c r="C205" t="s">
        <v>930</v>
      </c>
      <c r="D205">
        <v>40</v>
      </c>
      <c r="E205">
        <v>3</v>
      </c>
      <c r="F205" t="s">
        <v>726</v>
      </c>
    </row>
    <row r="206" spans="1:6" x14ac:dyDescent="0.25">
      <c r="A206" t="s">
        <v>165</v>
      </c>
      <c r="B206" t="s">
        <v>136</v>
      </c>
      <c r="C206" t="s">
        <v>1021</v>
      </c>
      <c r="D206">
        <v>40</v>
      </c>
      <c r="E206">
        <v>3</v>
      </c>
      <c r="F206" t="s">
        <v>833</v>
      </c>
    </row>
    <row r="207" spans="1:6" x14ac:dyDescent="0.25">
      <c r="A207" t="s">
        <v>163</v>
      </c>
      <c r="B207" t="s">
        <v>136</v>
      </c>
      <c r="C207" t="s">
        <v>945</v>
      </c>
      <c r="D207">
        <v>40</v>
      </c>
      <c r="E207">
        <v>3</v>
      </c>
      <c r="F207" t="s">
        <v>164</v>
      </c>
    </row>
    <row r="208" spans="1:6" x14ac:dyDescent="0.25">
      <c r="A208" t="s">
        <v>153</v>
      </c>
      <c r="B208" t="s">
        <v>136</v>
      </c>
      <c r="C208" t="s">
        <v>1077</v>
      </c>
      <c r="D208">
        <v>40</v>
      </c>
      <c r="E208">
        <v>4</v>
      </c>
      <c r="F208" t="s">
        <v>300</v>
      </c>
    </row>
    <row r="209" spans="1:6" x14ac:dyDescent="0.25">
      <c r="A209" t="s">
        <v>151</v>
      </c>
      <c r="B209" t="s">
        <v>136</v>
      </c>
      <c r="C209" t="s">
        <v>972</v>
      </c>
      <c r="D209" t="s">
        <v>143</v>
      </c>
      <c r="E209" t="s">
        <v>143</v>
      </c>
      <c r="F209" t="s">
        <v>152</v>
      </c>
    </row>
    <row r="210" spans="1:6" x14ac:dyDescent="0.25">
      <c r="A210" t="s">
        <v>149</v>
      </c>
      <c r="B210" t="s">
        <v>136</v>
      </c>
      <c r="C210" t="s">
        <v>1076</v>
      </c>
      <c r="D210" t="s">
        <v>143</v>
      </c>
      <c r="E210" t="s">
        <v>143</v>
      </c>
      <c r="F210" t="s">
        <v>150</v>
      </c>
    </row>
    <row r="211" spans="1:6" x14ac:dyDescent="0.25">
      <c r="A211" t="s">
        <v>147</v>
      </c>
      <c r="B211" t="s">
        <v>136</v>
      </c>
      <c r="C211" t="s">
        <v>972</v>
      </c>
      <c r="D211" t="s">
        <v>143</v>
      </c>
      <c r="E211" t="s">
        <v>143</v>
      </c>
      <c r="F211" t="s">
        <v>148</v>
      </c>
    </row>
    <row r="212" spans="1:6" x14ac:dyDescent="0.25">
      <c r="A212" t="s">
        <v>145</v>
      </c>
      <c r="B212" t="s">
        <v>136</v>
      </c>
      <c r="C212" t="s">
        <v>1075</v>
      </c>
      <c r="D212" t="s">
        <v>143</v>
      </c>
      <c r="E212" t="s">
        <v>143</v>
      </c>
      <c r="F212" t="s">
        <v>146</v>
      </c>
    </row>
    <row r="213" spans="1:6" x14ac:dyDescent="0.25">
      <c r="A213" t="s">
        <v>142</v>
      </c>
      <c r="B213" t="s">
        <v>136</v>
      </c>
      <c r="C213" t="s">
        <v>1051</v>
      </c>
      <c r="D213" t="s">
        <v>143</v>
      </c>
      <c r="E213" t="s">
        <v>143</v>
      </c>
      <c r="F213" t="s">
        <v>144</v>
      </c>
    </row>
    <row r="214" spans="1:6" x14ac:dyDescent="0.25">
      <c r="A214" t="s">
        <v>140</v>
      </c>
      <c r="B214" t="s">
        <v>136</v>
      </c>
      <c r="C214" t="s">
        <v>1074</v>
      </c>
      <c r="D214">
        <v>25</v>
      </c>
      <c r="E214">
        <v>5</v>
      </c>
      <c r="F214" t="s">
        <v>204</v>
      </c>
    </row>
    <row r="215" spans="1:6" x14ac:dyDescent="0.25">
      <c r="A215" t="s">
        <v>138</v>
      </c>
      <c r="B215" t="s">
        <v>136</v>
      </c>
      <c r="C215" t="s">
        <v>1073</v>
      </c>
      <c r="D215">
        <v>40</v>
      </c>
      <c r="E215">
        <v>1</v>
      </c>
      <c r="F215" t="s">
        <v>139</v>
      </c>
    </row>
    <row r="216" spans="1:6" x14ac:dyDescent="0.25">
      <c r="A216" t="s">
        <v>135</v>
      </c>
      <c r="B216" t="s">
        <v>136</v>
      </c>
      <c r="C216" t="s">
        <v>1030</v>
      </c>
      <c r="D216">
        <v>40</v>
      </c>
      <c r="E216">
        <v>1</v>
      </c>
      <c r="F216" t="s">
        <v>137</v>
      </c>
    </row>
    <row r="217" spans="1:6" x14ac:dyDescent="0.25">
      <c r="A217" t="s">
        <v>1070</v>
      </c>
      <c r="B217" t="s">
        <v>136</v>
      </c>
      <c r="C217" t="s">
        <v>1071</v>
      </c>
      <c r="D217">
        <v>60</v>
      </c>
      <c r="E217">
        <v>7</v>
      </c>
      <c r="F217" t="s">
        <v>420</v>
      </c>
    </row>
    <row r="218" spans="1:6" x14ac:dyDescent="0.25">
      <c r="A218" t="s">
        <v>1068</v>
      </c>
      <c r="B218" t="s">
        <v>136</v>
      </c>
      <c r="C218" t="s">
        <v>1069</v>
      </c>
      <c r="D218">
        <v>60</v>
      </c>
      <c r="E218">
        <v>7</v>
      </c>
      <c r="F218" t="s">
        <v>520</v>
      </c>
    </row>
    <row r="219" spans="1:6" x14ac:dyDescent="0.25">
      <c r="A219" t="s">
        <v>1066</v>
      </c>
      <c r="B219" t="s">
        <v>136</v>
      </c>
      <c r="C219" t="s">
        <v>1067</v>
      </c>
      <c r="D219">
        <v>60</v>
      </c>
      <c r="E219">
        <v>7</v>
      </c>
      <c r="F219" t="s">
        <v>418</v>
      </c>
    </row>
    <row r="220" spans="1:6" x14ac:dyDescent="0.25">
      <c r="A220" t="s">
        <v>893</v>
      </c>
      <c r="B220" t="s">
        <v>136</v>
      </c>
      <c r="C220" t="s">
        <v>894</v>
      </c>
      <c r="D220">
        <v>60</v>
      </c>
      <c r="E220">
        <v>7</v>
      </c>
      <c r="F220" t="s">
        <v>723</v>
      </c>
    </row>
    <row r="221" spans="1:6" x14ac:dyDescent="0.25">
      <c r="A221" t="s">
        <v>1064</v>
      </c>
      <c r="B221" t="s">
        <v>136</v>
      </c>
      <c r="C221" t="s">
        <v>1065</v>
      </c>
      <c r="D221">
        <v>60</v>
      </c>
      <c r="E221">
        <v>7</v>
      </c>
      <c r="F221" t="s">
        <v>591</v>
      </c>
    </row>
    <row r="222" spans="1:6" x14ac:dyDescent="0.25">
      <c r="A222" t="s">
        <v>1062</v>
      </c>
      <c r="B222" t="s">
        <v>136</v>
      </c>
      <c r="C222" t="s">
        <v>1063</v>
      </c>
      <c r="D222">
        <v>60</v>
      </c>
      <c r="E222">
        <v>7</v>
      </c>
      <c r="F222" t="s">
        <v>512</v>
      </c>
    </row>
    <row r="223" spans="1:6" x14ac:dyDescent="0.25">
      <c r="A223" t="s">
        <v>1061</v>
      </c>
      <c r="B223" t="s">
        <v>136</v>
      </c>
      <c r="C223" t="s">
        <v>896</v>
      </c>
      <c r="D223">
        <v>5</v>
      </c>
      <c r="E223">
        <v>1</v>
      </c>
      <c r="F223" t="s">
        <v>268</v>
      </c>
    </row>
    <row r="224" spans="1:6" x14ac:dyDescent="0.25">
      <c r="A224" t="s">
        <v>1059</v>
      </c>
      <c r="B224" t="s">
        <v>136</v>
      </c>
      <c r="C224" t="s">
        <v>1060</v>
      </c>
      <c r="D224">
        <v>50</v>
      </c>
      <c r="E224">
        <v>15</v>
      </c>
      <c r="F224" t="s">
        <v>614</v>
      </c>
    </row>
    <row r="225" spans="1:6" x14ac:dyDescent="0.25">
      <c r="A225" t="s">
        <v>1057</v>
      </c>
      <c r="B225" t="s">
        <v>136</v>
      </c>
      <c r="C225" t="s">
        <v>1058</v>
      </c>
      <c r="D225">
        <v>40</v>
      </c>
      <c r="E225">
        <v>3</v>
      </c>
      <c r="F225" t="s">
        <v>638</v>
      </c>
    </row>
    <row r="226" spans="1:6" x14ac:dyDescent="0.25">
      <c r="A226" t="s">
        <v>1053</v>
      </c>
      <c r="B226" t="s">
        <v>136</v>
      </c>
      <c r="C226" t="s">
        <v>877</v>
      </c>
      <c r="D226">
        <v>5</v>
      </c>
      <c r="E226">
        <v>1</v>
      </c>
      <c r="F226" t="s">
        <v>659</v>
      </c>
    </row>
    <row r="227" spans="1:6" x14ac:dyDescent="0.25">
      <c r="A227" t="s">
        <v>1052</v>
      </c>
      <c r="B227" t="s">
        <v>136</v>
      </c>
      <c r="C227" t="s">
        <v>1051</v>
      </c>
      <c r="D227">
        <v>40</v>
      </c>
      <c r="E227">
        <v>3</v>
      </c>
      <c r="F227" t="s">
        <v>662</v>
      </c>
    </row>
    <row r="228" spans="1:6" x14ac:dyDescent="0.25">
      <c r="A228" t="s">
        <v>1050</v>
      </c>
      <c r="B228" t="s">
        <v>136</v>
      </c>
      <c r="C228" t="s">
        <v>1011</v>
      </c>
      <c r="D228">
        <v>40</v>
      </c>
      <c r="E228">
        <v>5</v>
      </c>
      <c r="F228" t="s">
        <v>727</v>
      </c>
    </row>
    <row r="229" spans="1:6" x14ac:dyDescent="0.25">
      <c r="A229" t="s">
        <v>1049</v>
      </c>
      <c r="B229" t="s">
        <v>136</v>
      </c>
      <c r="C229" t="s">
        <v>891</v>
      </c>
      <c r="D229">
        <v>60</v>
      </c>
      <c r="E229">
        <v>7</v>
      </c>
      <c r="F229" t="s">
        <v>494</v>
      </c>
    </row>
    <row r="230" spans="1:6" x14ac:dyDescent="0.25">
      <c r="A230" t="s">
        <v>1048</v>
      </c>
      <c r="B230" t="s">
        <v>136</v>
      </c>
      <c r="C230" t="s">
        <v>875</v>
      </c>
      <c r="D230">
        <v>40</v>
      </c>
      <c r="E230">
        <v>5</v>
      </c>
      <c r="F230" t="s">
        <v>382</v>
      </c>
    </row>
    <row r="231" spans="1:6" x14ac:dyDescent="0.25">
      <c r="A231" t="s">
        <v>1046</v>
      </c>
      <c r="B231" t="s">
        <v>136</v>
      </c>
      <c r="C231" t="s">
        <v>1047</v>
      </c>
      <c r="D231">
        <v>40</v>
      </c>
      <c r="E231">
        <v>1</v>
      </c>
      <c r="F231" t="s">
        <v>342</v>
      </c>
    </row>
    <row r="232" spans="1:6" x14ac:dyDescent="0.25">
      <c r="A232" t="s">
        <v>1045</v>
      </c>
      <c r="B232" t="s">
        <v>136</v>
      </c>
      <c r="C232" t="s">
        <v>1024</v>
      </c>
      <c r="D232">
        <v>40</v>
      </c>
      <c r="E232">
        <v>3</v>
      </c>
      <c r="F232" t="s">
        <v>170</v>
      </c>
    </row>
    <row r="233" spans="1:6" x14ac:dyDescent="0.25">
      <c r="A233" t="s">
        <v>1022</v>
      </c>
      <c r="B233" t="s">
        <v>136</v>
      </c>
      <c r="C233" t="s">
        <v>870</v>
      </c>
      <c r="D233">
        <v>60</v>
      </c>
      <c r="E233">
        <v>7</v>
      </c>
      <c r="F233" t="s">
        <v>422</v>
      </c>
    </row>
    <row r="234" spans="1:6" x14ac:dyDescent="0.25">
      <c r="A234" t="s">
        <v>1044</v>
      </c>
      <c r="B234" t="s">
        <v>136</v>
      </c>
      <c r="C234" t="s">
        <v>932</v>
      </c>
      <c r="D234">
        <v>50</v>
      </c>
      <c r="E234">
        <v>7</v>
      </c>
      <c r="F234" t="s">
        <v>626</v>
      </c>
    </row>
    <row r="235" spans="1:6" x14ac:dyDescent="0.25">
      <c r="A235" t="s">
        <v>1043</v>
      </c>
      <c r="B235" t="s">
        <v>136</v>
      </c>
      <c r="C235" t="s">
        <v>879</v>
      </c>
      <c r="D235">
        <v>5</v>
      </c>
      <c r="E235">
        <v>1</v>
      </c>
      <c r="F235" t="s">
        <v>747</v>
      </c>
    </row>
    <row r="236" spans="1:6" x14ac:dyDescent="0.25">
      <c r="A236" t="s">
        <v>1041</v>
      </c>
      <c r="B236" t="s">
        <v>136</v>
      </c>
      <c r="C236" t="s">
        <v>1042</v>
      </c>
      <c r="D236">
        <v>60</v>
      </c>
      <c r="E236">
        <v>7</v>
      </c>
      <c r="F236" t="s">
        <v>476</v>
      </c>
    </row>
    <row r="237" spans="1:6" x14ac:dyDescent="0.25">
      <c r="A237" t="s">
        <v>1039</v>
      </c>
      <c r="B237" t="s">
        <v>136</v>
      </c>
      <c r="C237" t="s">
        <v>1040</v>
      </c>
      <c r="D237">
        <v>60</v>
      </c>
      <c r="E237">
        <v>7</v>
      </c>
      <c r="F237" t="s">
        <v>514</v>
      </c>
    </row>
    <row r="238" spans="1:6" x14ac:dyDescent="0.25">
      <c r="A238" t="s">
        <v>1038</v>
      </c>
      <c r="B238" t="s">
        <v>136</v>
      </c>
      <c r="C238" t="s">
        <v>902</v>
      </c>
      <c r="D238">
        <v>60</v>
      </c>
      <c r="E238">
        <v>7</v>
      </c>
      <c r="F238" t="s">
        <v>578</v>
      </c>
    </row>
    <row r="239" spans="1:6" x14ac:dyDescent="0.25">
      <c r="A239" t="s">
        <v>1023</v>
      </c>
      <c r="B239" t="s">
        <v>136</v>
      </c>
      <c r="C239" t="s">
        <v>1024</v>
      </c>
      <c r="D239">
        <v>60</v>
      </c>
      <c r="E239">
        <v>7</v>
      </c>
      <c r="F239" t="s">
        <v>584</v>
      </c>
    </row>
    <row r="240" spans="1:6" x14ac:dyDescent="0.25">
      <c r="A240" t="s">
        <v>1037</v>
      </c>
      <c r="B240" t="s">
        <v>136</v>
      </c>
      <c r="C240" t="s">
        <v>872</v>
      </c>
      <c r="D240">
        <v>60</v>
      </c>
      <c r="E240">
        <v>7</v>
      </c>
      <c r="F240" t="s">
        <v>580</v>
      </c>
    </row>
    <row r="241" spans="1:6" x14ac:dyDescent="0.25">
      <c r="A241" t="s">
        <v>1029</v>
      </c>
      <c r="B241" t="s">
        <v>136</v>
      </c>
      <c r="C241" t="s">
        <v>1030</v>
      </c>
      <c r="D241">
        <v>60</v>
      </c>
      <c r="E241">
        <v>7</v>
      </c>
      <c r="F241" t="s">
        <v>582</v>
      </c>
    </row>
    <row r="242" spans="1:6" x14ac:dyDescent="0.25">
      <c r="A242" t="s">
        <v>1036</v>
      </c>
      <c r="B242" t="s">
        <v>136</v>
      </c>
      <c r="C242" t="s">
        <v>868</v>
      </c>
      <c r="D242">
        <v>60</v>
      </c>
      <c r="E242">
        <v>7</v>
      </c>
      <c r="F242" t="s">
        <v>739</v>
      </c>
    </row>
    <row r="243" spans="1:6" x14ac:dyDescent="0.25">
      <c r="A243" t="s">
        <v>1016</v>
      </c>
      <c r="B243" t="s">
        <v>136</v>
      </c>
      <c r="C243" t="s">
        <v>1017</v>
      </c>
      <c r="D243">
        <v>60</v>
      </c>
      <c r="E243">
        <v>7</v>
      </c>
      <c r="F243" t="s">
        <v>740</v>
      </c>
    </row>
    <row r="244" spans="1:6" x14ac:dyDescent="0.25">
      <c r="A244" t="s">
        <v>1035</v>
      </c>
      <c r="B244" t="s">
        <v>136</v>
      </c>
      <c r="C244" t="s">
        <v>1034</v>
      </c>
      <c r="D244">
        <v>40</v>
      </c>
      <c r="E244">
        <v>3</v>
      </c>
      <c r="F244" t="s">
        <v>741</v>
      </c>
    </row>
    <row r="245" spans="1:6" x14ac:dyDescent="0.25">
      <c r="A245" t="s">
        <v>1033</v>
      </c>
      <c r="B245" t="s">
        <v>136</v>
      </c>
      <c r="C245" t="s">
        <v>1034</v>
      </c>
      <c r="D245">
        <v>40</v>
      </c>
      <c r="E245">
        <v>3</v>
      </c>
      <c r="F245" t="s">
        <v>742</v>
      </c>
    </row>
    <row r="246" spans="1:6" x14ac:dyDescent="0.25">
      <c r="A246" t="s">
        <v>1032</v>
      </c>
      <c r="B246" t="s">
        <v>136</v>
      </c>
      <c r="C246" t="s">
        <v>1030</v>
      </c>
      <c r="D246">
        <v>40</v>
      </c>
      <c r="E246">
        <v>3</v>
      </c>
      <c r="F246" t="s">
        <v>743</v>
      </c>
    </row>
    <row r="247" spans="1:6" x14ac:dyDescent="0.25">
      <c r="A247" t="s">
        <v>1027</v>
      </c>
      <c r="B247" t="s">
        <v>136</v>
      </c>
      <c r="C247" t="s">
        <v>1028</v>
      </c>
      <c r="D247">
        <v>40</v>
      </c>
      <c r="E247">
        <v>1</v>
      </c>
      <c r="F247" t="s">
        <v>346</v>
      </c>
    </row>
    <row r="248" spans="1:6" x14ac:dyDescent="0.25">
      <c r="A248" t="s">
        <v>1020</v>
      </c>
      <c r="B248" t="s">
        <v>136</v>
      </c>
      <c r="C248" t="s">
        <v>1021</v>
      </c>
      <c r="D248" t="s">
        <v>143</v>
      </c>
      <c r="E248" t="s">
        <v>143</v>
      </c>
      <c r="F248" t="s">
        <v>220</v>
      </c>
    </row>
    <row r="249" spans="1:6" x14ac:dyDescent="0.25">
      <c r="A249" t="s">
        <v>1025</v>
      </c>
      <c r="B249" t="s">
        <v>136</v>
      </c>
      <c r="C249" t="s">
        <v>1026</v>
      </c>
      <c r="D249">
        <v>40</v>
      </c>
      <c r="E249">
        <v>1</v>
      </c>
      <c r="F249" t="s">
        <v>745</v>
      </c>
    </row>
    <row r="250" spans="1:6" x14ac:dyDescent="0.25">
      <c r="A250" t="s">
        <v>895</v>
      </c>
      <c r="B250" t="s">
        <v>136</v>
      </c>
      <c r="C250" t="s">
        <v>896</v>
      </c>
      <c r="D250">
        <v>60</v>
      </c>
      <c r="E250">
        <v>7</v>
      </c>
      <c r="F250" t="s">
        <v>756</v>
      </c>
    </row>
    <row r="251" spans="1:6" x14ac:dyDescent="0.25">
      <c r="A251" t="s">
        <v>1013</v>
      </c>
      <c r="B251" t="s">
        <v>136</v>
      </c>
      <c r="C251" t="s">
        <v>1014</v>
      </c>
      <c r="D251">
        <v>60</v>
      </c>
      <c r="E251">
        <v>7</v>
      </c>
      <c r="F251" t="s">
        <v>1015</v>
      </c>
    </row>
    <row r="252" spans="1:6" x14ac:dyDescent="0.25">
      <c r="A252" t="s">
        <v>1010</v>
      </c>
      <c r="B252" t="s">
        <v>136</v>
      </c>
      <c r="C252" t="s">
        <v>1011</v>
      </c>
      <c r="D252">
        <v>60</v>
      </c>
      <c r="E252">
        <v>7</v>
      </c>
      <c r="F252" t="s">
        <v>1012</v>
      </c>
    </row>
    <row r="253" spans="1:6" x14ac:dyDescent="0.25">
      <c r="A253" t="s">
        <v>1008</v>
      </c>
      <c r="B253" t="s">
        <v>136</v>
      </c>
      <c r="C253" t="s">
        <v>934</v>
      </c>
      <c r="D253">
        <v>60</v>
      </c>
      <c r="E253">
        <v>7</v>
      </c>
      <c r="F253" t="s">
        <v>1009</v>
      </c>
    </row>
    <row r="254" spans="1:6" x14ac:dyDescent="0.25">
      <c r="A254" t="s">
        <v>1005</v>
      </c>
      <c r="B254" t="s">
        <v>136</v>
      </c>
      <c r="C254" t="s">
        <v>1006</v>
      </c>
      <c r="D254">
        <v>60</v>
      </c>
      <c r="E254">
        <v>7</v>
      </c>
      <c r="F254" t="s">
        <v>1007</v>
      </c>
    </row>
    <row r="255" spans="1:6" x14ac:dyDescent="0.25">
      <c r="A255" t="s">
        <v>1002</v>
      </c>
      <c r="B255" t="s">
        <v>136</v>
      </c>
      <c r="C255" t="s">
        <v>1003</v>
      </c>
      <c r="D255">
        <v>60</v>
      </c>
      <c r="E255">
        <v>7</v>
      </c>
      <c r="F255" t="s">
        <v>1004</v>
      </c>
    </row>
    <row r="256" spans="1:6" x14ac:dyDescent="0.25">
      <c r="A256" t="s">
        <v>999</v>
      </c>
      <c r="B256" t="s">
        <v>136</v>
      </c>
      <c r="C256" t="s">
        <v>1000</v>
      </c>
      <c r="D256">
        <v>60</v>
      </c>
      <c r="E256">
        <v>7</v>
      </c>
      <c r="F256" t="s">
        <v>1001</v>
      </c>
    </row>
    <row r="257" spans="1:6" x14ac:dyDescent="0.25">
      <c r="A257" t="s">
        <v>997</v>
      </c>
      <c r="B257" t="s">
        <v>136</v>
      </c>
      <c r="C257" t="s">
        <v>924</v>
      </c>
      <c r="D257">
        <v>60</v>
      </c>
      <c r="E257">
        <v>7</v>
      </c>
      <c r="F257" t="s">
        <v>998</v>
      </c>
    </row>
    <row r="258" spans="1:6" x14ac:dyDescent="0.25">
      <c r="A258" t="s">
        <v>994</v>
      </c>
      <c r="B258" t="s">
        <v>136</v>
      </c>
      <c r="C258" t="s">
        <v>995</v>
      </c>
      <c r="D258">
        <v>60</v>
      </c>
      <c r="E258">
        <v>7</v>
      </c>
      <c r="F258" t="s">
        <v>996</v>
      </c>
    </row>
    <row r="259" spans="1:6" x14ac:dyDescent="0.25">
      <c r="A259" t="s">
        <v>991</v>
      </c>
      <c r="B259" t="s">
        <v>136</v>
      </c>
      <c r="C259" t="s">
        <v>992</v>
      </c>
      <c r="D259">
        <v>60</v>
      </c>
      <c r="E259">
        <v>7</v>
      </c>
      <c r="F259" t="s">
        <v>993</v>
      </c>
    </row>
    <row r="260" spans="1:6" x14ac:dyDescent="0.25">
      <c r="A260" t="s">
        <v>988</v>
      </c>
      <c r="B260" t="s">
        <v>136</v>
      </c>
      <c r="C260" t="s">
        <v>989</v>
      </c>
      <c r="D260">
        <v>60</v>
      </c>
      <c r="E260">
        <v>7</v>
      </c>
      <c r="F260" t="s">
        <v>990</v>
      </c>
    </row>
    <row r="261" spans="1:6" x14ac:dyDescent="0.25">
      <c r="A261" t="s">
        <v>986</v>
      </c>
      <c r="B261" t="s">
        <v>136</v>
      </c>
      <c r="C261" t="s">
        <v>872</v>
      </c>
      <c r="D261">
        <v>60</v>
      </c>
      <c r="E261">
        <v>7</v>
      </c>
      <c r="F261" t="s">
        <v>987</v>
      </c>
    </row>
    <row r="262" spans="1:6" x14ac:dyDescent="0.25">
      <c r="A262" t="s">
        <v>983</v>
      </c>
      <c r="B262" t="s">
        <v>136</v>
      </c>
      <c r="C262" t="s">
        <v>984</v>
      </c>
      <c r="D262">
        <v>60</v>
      </c>
      <c r="E262">
        <v>7</v>
      </c>
      <c r="F262" t="s">
        <v>985</v>
      </c>
    </row>
    <row r="263" spans="1:6" x14ac:dyDescent="0.25">
      <c r="A263" t="s">
        <v>980</v>
      </c>
      <c r="B263" t="s">
        <v>136</v>
      </c>
      <c r="C263" t="s">
        <v>981</v>
      </c>
      <c r="D263">
        <v>60</v>
      </c>
      <c r="E263">
        <v>7</v>
      </c>
      <c r="F263" t="s">
        <v>982</v>
      </c>
    </row>
    <row r="264" spans="1:6" x14ac:dyDescent="0.25">
      <c r="A264" t="s">
        <v>977</v>
      </c>
      <c r="B264" t="s">
        <v>136</v>
      </c>
      <c r="C264" t="s">
        <v>978</v>
      </c>
      <c r="D264">
        <v>60</v>
      </c>
      <c r="E264">
        <v>7</v>
      </c>
      <c r="F264" t="s">
        <v>979</v>
      </c>
    </row>
    <row r="265" spans="1:6" x14ac:dyDescent="0.25">
      <c r="A265" t="s">
        <v>974</v>
      </c>
      <c r="B265" t="s">
        <v>136</v>
      </c>
      <c r="C265" t="s">
        <v>975</v>
      </c>
      <c r="D265">
        <v>60</v>
      </c>
      <c r="E265">
        <v>7</v>
      </c>
      <c r="F265" t="s">
        <v>976</v>
      </c>
    </row>
    <row r="266" spans="1:6" x14ac:dyDescent="0.25">
      <c r="A266" t="s">
        <v>973</v>
      </c>
      <c r="B266" t="s">
        <v>136</v>
      </c>
      <c r="C266" t="s">
        <v>924</v>
      </c>
      <c r="D266">
        <v>60</v>
      </c>
      <c r="E266">
        <v>7</v>
      </c>
      <c r="F266" t="s">
        <v>758</v>
      </c>
    </row>
    <row r="267" spans="1:6" x14ac:dyDescent="0.25">
      <c r="A267" t="s">
        <v>971</v>
      </c>
      <c r="B267" t="s">
        <v>136</v>
      </c>
      <c r="C267" t="s">
        <v>972</v>
      </c>
      <c r="D267">
        <v>60</v>
      </c>
      <c r="E267">
        <v>7</v>
      </c>
      <c r="F267" t="s">
        <v>760</v>
      </c>
    </row>
    <row r="268" spans="1:6" x14ac:dyDescent="0.25">
      <c r="A268" t="s">
        <v>969</v>
      </c>
      <c r="B268" t="s">
        <v>136</v>
      </c>
      <c r="C268" t="s">
        <v>970</v>
      </c>
      <c r="D268">
        <v>60</v>
      </c>
      <c r="E268">
        <v>7</v>
      </c>
      <c r="F268" t="s">
        <v>759</v>
      </c>
    </row>
    <row r="269" spans="1:6" x14ac:dyDescent="0.25">
      <c r="A269" t="s">
        <v>967</v>
      </c>
      <c r="B269" t="s">
        <v>136</v>
      </c>
      <c r="C269" t="s">
        <v>968</v>
      </c>
      <c r="D269">
        <v>60</v>
      </c>
      <c r="E269">
        <v>7</v>
      </c>
      <c r="F269" t="s">
        <v>761</v>
      </c>
    </row>
    <row r="270" spans="1:6" x14ac:dyDescent="0.25">
      <c r="A270" t="s">
        <v>966</v>
      </c>
      <c r="B270" t="s">
        <v>136</v>
      </c>
      <c r="C270" t="s">
        <v>894</v>
      </c>
      <c r="D270">
        <v>60</v>
      </c>
      <c r="E270">
        <v>7</v>
      </c>
      <c r="F270" t="s">
        <v>762</v>
      </c>
    </row>
    <row r="271" spans="1:6" x14ac:dyDescent="0.25">
      <c r="A271" t="s">
        <v>964</v>
      </c>
      <c r="B271" t="s">
        <v>136</v>
      </c>
      <c r="C271" t="s">
        <v>965</v>
      </c>
      <c r="D271">
        <v>60</v>
      </c>
      <c r="E271">
        <v>7</v>
      </c>
      <c r="F271" t="s">
        <v>763</v>
      </c>
    </row>
    <row r="272" spans="1:6" x14ac:dyDescent="0.25">
      <c r="A272" t="s">
        <v>962</v>
      </c>
      <c r="B272" t="s">
        <v>136</v>
      </c>
      <c r="C272" t="s">
        <v>963</v>
      </c>
      <c r="D272">
        <v>60</v>
      </c>
      <c r="E272">
        <v>7</v>
      </c>
      <c r="F272" t="s">
        <v>764</v>
      </c>
    </row>
    <row r="273" spans="1:6" x14ac:dyDescent="0.25">
      <c r="A273" t="s">
        <v>961</v>
      </c>
      <c r="B273" t="s">
        <v>136</v>
      </c>
      <c r="C273" t="s">
        <v>891</v>
      </c>
      <c r="D273">
        <v>60</v>
      </c>
      <c r="E273">
        <v>7</v>
      </c>
      <c r="F273" t="s">
        <v>765</v>
      </c>
    </row>
    <row r="274" spans="1:6" x14ac:dyDescent="0.25">
      <c r="A274" t="s">
        <v>959</v>
      </c>
      <c r="B274" t="s">
        <v>136</v>
      </c>
      <c r="C274" t="s">
        <v>960</v>
      </c>
      <c r="D274">
        <v>60</v>
      </c>
      <c r="E274">
        <v>7</v>
      </c>
      <c r="F274" t="s">
        <v>766</v>
      </c>
    </row>
    <row r="275" spans="1:6" x14ac:dyDescent="0.25">
      <c r="A275" t="s">
        <v>957</v>
      </c>
      <c r="B275" t="s">
        <v>136</v>
      </c>
      <c r="C275" t="s">
        <v>958</v>
      </c>
      <c r="D275">
        <v>60</v>
      </c>
      <c r="E275">
        <v>7</v>
      </c>
      <c r="F275" t="s">
        <v>767</v>
      </c>
    </row>
    <row r="276" spans="1:6" x14ac:dyDescent="0.25">
      <c r="A276" t="s">
        <v>956</v>
      </c>
      <c r="B276" t="s">
        <v>136</v>
      </c>
      <c r="C276" t="s">
        <v>922</v>
      </c>
      <c r="D276">
        <v>60</v>
      </c>
      <c r="E276">
        <v>7</v>
      </c>
      <c r="F276" t="s">
        <v>768</v>
      </c>
    </row>
    <row r="277" spans="1:6" x14ac:dyDescent="0.25">
      <c r="A277" t="s">
        <v>954</v>
      </c>
      <c r="B277" t="s">
        <v>136</v>
      </c>
      <c r="C277" t="s">
        <v>955</v>
      </c>
      <c r="D277">
        <v>60</v>
      </c>
      <c r="E277">
        <v>7</v>
      </c>
      <c r="F277" t="s">
        <v>841</v>
      </c>
    </row>
    <row r="278" spans="1:6" x14ac:dyDescent="0.25">
      <c r="A278" t="s">
        <v>953</v>
      </c>
      <c r="B278" t="s">
        <v>136</v>
      </c>
      <c r="C278" t="s">
        <v>907</v>
      </c>
      <c r="D278">
        <v>60</v>
      </c>
      <c r="E278">
        <v>7</v>
      </c>
      <c r="F278" t="s">
        <v>769</v>
      </c>
    </row>
    <row r="279" spans="1:6" x14ac:dyDescent="0.25">
      <c r="A279" t="s">
        <v>951</v>
      </c>
      <c r="B279" t="s">
        <v>136</v>
      </c>
      <c r="C279" t="s">
        <v>952</v>
      </c>
      <c r="D279">
        <v>40</v>
      </c>
      <c r="E279">
        <v>3</v>
      </c>
      <c r="F279" t="s">
        <v>790</v>
      </c>
    </row>
    <row r="280" spans="1:6" x14ac:dyDescent="0.25">
      <c r="A280" t="s">
        <v>949</v>
      </c>
      <c r="B280" t="s">
        <v>136</v>
      </c>
      <c r="C280" t="s">
        <v>873</v>
      </c>
      <c r="D280">
        <v>60</v>
      </c>
      <c r="E280">
        <v>7</v>
      </c>
      <c r="F280" t="s">
        <v>950</v>
      </c>
    </row>
    <row r="281" spans="1:6" x14ac:dyDescent="0.25">
      <c r="A281" t="s">
        <v>948</v>
      </c>
      <c r="B281" t="s">
        <v>136</v>
      </c>
      <c r="C281" t="s">
        <v>941</v>
      </c>
      <c r="D281">
        <v>40</v>
      </c>
      <c r="E281">
        <v>3</v>
      </c>
      <c r="F281" t="s">
        <v>791</v>
      </c>
    </row>
    <row r="282" spans="1:6" x14ac:dyDescent="0.25">
      <c r="A282" t="s">
        <v>946</v>
      </c>
      <c r="B282" t="s">
        <v>136</v>
      </c>
      <c r="C282" t="s">
        <v>947</v>
      </c>
      <c r="D282">
        <v>5</v>
      </c>
      <c r="E282">
        <v>1</v>
      </c>
      <c r="F282" t="s">
        <v>792</v>
      </c>
    </row>
    <row r="283" spans="1:6" x14ac:dyDescent="0.25">
      <c r="A283" t="s">
        <v>944</v>
      </c>
      <c r="B283" t="s">
        <v>136</v>
      </c>
      <c r="C283" t="s">
        <v>945</v>
      </c>
      <c r="D283">
        <v>40</v>
      </c>
      <c r="E283">
        <v>3</v>
      </c>
      <c r="F283" t="s">
        <v>814</v>
      </c>
    </row>
    <row r="284" spans="1:6" x14ac:dyDescent="0.25">
      <c r="A284" t="s">
        <v>942</v>
      </c>
      <c r="B284" t="s">
        <v>136</v>
      </c>
      <c r="C284" t="s">
        <v>943</v>
      </c>
      <c r="D284">
        <v>40</v>
      </c>
      <c r="E284">
        <v>5</v>
      </c>
      <c r="F284" t="s">
        <v>797</v>
      </c>
    </row>
    <row r="285" spans="1:6" x14ac:dyDescent="0.25">
      <c r="A285" t="s">
        <v>940</v>
      </c>
      <c r="B285" t="s">
        <v>136</v>
      </c>
      <c r="C285" t="s">
        <v>941</v>
      </c>
      <c r="D285">
        <v>40</v>
      </c>
      <c r="E285">
        <v>5</v>
      </c>
      <c r="F285" t="s">
        <v>793</v>
      </c>
    </row>
    <row r="286" spans="1:6" x14ac:dyDescent="0.25">
      <c r="A286" t="s">
        <v>939</v>
      </c>
      <c r="B286" t="s">
        <v>136</v>
      </c>
      <c r="C286" t="s">
        <v>932</v>
      </c>
      <c r="D286">
        <v>40</v>
      </c>
      <c r="E286">
        <v>5</v>
      </c>
      <c r="F286" t="s">
        <v>798</v>
      </c>
    </row>
    <row r="287" spans="1:6" x14ac:dyDescent="0.25">
      <c r="A287" t="s">
        <v>937</v>
      </c>
      <c r="B287" t="s">
        <v>136</v>
      </c>
      <c r="C287" t="s">
        <v>938</v>
      </c>
      <c r="D287">
        <v>40</v>
      </c>
      <c r="E287">
        <v>5</v>
      </c>
      <c r="F287" t="s">
        <v>794</v>
      </c>
    </row>
    <row r="288" spans="1:6" x14ac:dyDescent="0.25">
      <c r="A288" t="s">
        <v>935</v>
      </c>
      <c r="B288" t="s">
        <v>136</v>
      </c>
      <c r="C288" t="s">
        <v>936</v>
      </c>
      <c r="D288">
        <v>40</v>
      </c>
      <c r="E288">
        <v>5</v>
      </c>
      <c r="F288" t="s">
        <v>799</v>
      </c>
    </row>
    <row r="289" spans="1:6" x14ac:dyDescent="0.25">
      <c r="A289" t="s">
        <v>933</v>
      </c>
      <c r="B289" t="s">
        <v>136</v>
      </c>
      <c r="C289" t="s">
        <v>934</v>
      </c>
      <c r="D289">
        <v>40</v>
      </c>
      <c r="E289">
        <v>3</v>
      </c>
      <c r="F289" t="s">
        <v>795</v>
      </c>
    </row>
    <row r="290" spans="1:6" x14ac:dyDescent="0.25">
      <c r="A290" t="s">
        <v>931</v>
      </c>
      <c r="B290" t="s">
        <v>136</v>
      </c>
      <c r="C290" t="s">
        <v>932</v>
      </c>
      <c r="D290">
        <v>5</v>
      </c>
      <c r="E290">
        <v>1</v>
      </c>
      <c r="F290" t="s">
        <v>796</v>
      </c>
    </row>
    <row r="291" spans="1:6" x14ac:dyDescent="0.25">
      <c r="A291" t="s">
        <v>929</v>
      </c>
      <c r="B291" t="s">
        <v>136</v>
      </c>
      <c r="C291" t="s">
        <v>930</v>
      </c>
      <c r="D291">
        <v>40</v>
      </c>
      <c r="E291">
        <v>10</v>
      </c>
      <c r="F291" t="s">
        <v>801</v>
      </c>
    </row>
    <row r="292" spans="1:6" x14ac:dyDescent="0.25">
      <c r="A292" t="s">
        <v>927</v>
      </c>
      <c r="B292" t="s">
        <v>136</v>
      </c>
      <c r="C292" t="s">
        <v>928</v>
      </c>
      <c r="D292">
        <v>60</v>
      </c>
      <c r="E292">
        <v>9</v>
      </c>
      <c r="F292" t="s">
        <v>802</v>
      </c>
    </row>
    <row r="293" spans="1:6" x14ac:dyDescent="0.25">
      <c r="A293" t="s">
        <v>925</v>
      </c>
      <c r="B293" t="s">
        <v>136</v>
      </c>
      <c r="C293" t="s">
        <v>926</v>
      </c>
      <c r="D293">
        <v>40</v>
      </c>
      <c r="E293">
        <v>11</v>
      </c>
      <c r="F293" t="s">
        <v>804</v>
      </c>
    </row>
    <row r="294" spans="1:6" x14ac:dyDescent="0.25">
      <c r="A294" t="s">
        <v>923</v>
      </c>
      <c r="B294" t="s">
        <v>136</v>
      </c>
      <c r="C294" t="s">
        <v>924</v>
      </c>
      <c r="D294">
        <v>40</v>
      </c>
      <c r="E294">
        <v>11</v>
      </c>
      <c r="F294" t="s">
        <v>805</v>
      </c>
    </row>
    <row r="295" spans="1:6" x14ac:dyDescent="0.25">
      <c r="A295" t="s">
        <v>921</v>
      </c>
      <c r="B295" t="s">
        <v>136</v>
      </c>
      <c r="C295" t="s">
        <v>922</v>
      </c>
      <c r="D295">
        <v>40</v>
      </c>
      <c r="E295">
        <v>5</v>
      </c>
      <c r="F295" t="s">
        <v>806</v>
      </c>
    </row>
    <row r="296" spans="1:6" x14ac:dyDescent="0.25">
      <c r="A296" t="s">
        <v>919</v>
      </c>
      <c r="B296" t="s">
        <v>136</v>
      </c>
      <c r="C296" t="s">
        <v>920</v>
      </c>
      <c r="D296">
        <v>40</v>
      </c>
      <c r="E296">
        <v>7</v>
      </c>
      <c r="F296" t="s">
        <v>807</v>
      </c>
    </row>
    <row r="297" spans="1:6" x14ac:dyDescent="0.25">
      <c r="A297" t="s">
        <v>917</v>
      </c>
      <c r="B297" t="s">
        <v>136</v>
      </c>
      <c r="C297" t="s">
        <v>918</v>
      </c>
      <c r="D297">
        <v>40</v>
      </c>
      <c r="E297">
        <v>5</v>
      </c>
      <c r="F297" t="s">
        <v>808</v>
      </c>
    </row>
    <row r="298" spans="1:6" x14ac:dyDescent="0.25">
      <c r="A298" t="s">
        <v>915</v>
      </c>
      <c r="B298" t="s">
        <v>136</v>
      </c>
      <c r="C298" t="s">
        <v>916</v>
      </c>
      <c r="D298">
        <v>40</v>
      </c>
      <c r="E298">
        <v>5</v>
      </c>
      <c r="F298" t="s">
        <v>844</v>
      </c>
    </row>
    <row r="299" spans="1:6" x14ac:dyDescent="0.25">
      <c r="A299" t="s">
        <v>913</v>
      </c>
      <c r="B299" t="s">
        <v>136</v>
      </c>
      <c r="C299" t="s">
        <v>914</v>
      </c>
      <c r="D299">
        <v>40</v>
      </c>
      <c r="E299">
        <v>5</v>
      </c>
      <c r="F299" t="s">
        <v>854</v>
      </c>
    </row>
    <row r="300" spans="1:6" x14ac:dyDescent="0.25">
      <c r="A300" t="s">
        <v>867</v>
      </c>
      <c r="B300" t="s">
        <v>136</v>
      </c>
      <c r="C300" t="s">
        <v>868</v>
      </c>
      <c r="D300">
        <v>40</v>
      </c>
      <c r="E300">
        <v>1</v>
      </c>
      <c r="F300" t="s">
        <v>812</v>
      </c>
    </row>
    <row r="301" spans="1:6" x14ac:dyDescent="0.25">
      <c r="A301" t="s">
        <v>912</v>
      </c>
      <c r="B301" t="s">
        <v>136</v>
      </c>
      <c r="C301" t="s">
        <v>868</v>
      </c>
      <c r="D301">
        <v>40</v>
      </c>
      <c r="E301">
        <v>1</v>
      </c>
      <c r="F301" t="s">
        <v>809</v>
      </c>
    </row>
    <row r="302" spans="1:6" x14ac:dyDescent="0.25">
      <c r="A302" t="s">
        <v>909</v>
      </c>
      <c r="B302" t="s">
        <v>136</v>
      </c>
      <c r="C302" t="s">
        <v>910</v>
      </c>
      <c r="D302">
        <v>5</v>
      </c>
      <c r="E302">
        <v>1</v>
      </c>
      <c r="F302" t="s">
        <v>911</v>
      </c>
    </row>
    <row r="303" spans="1:6" x14ac:dyDescent="0.25">
      <c r="A303" t="s">
        <v>876</v>
      </c>
      <c r="B303" t="s">
        <v>136</v>
      </c>
      <c r="C303" t="s">
        <v>877</v>
      </c>
      <c r="D303" t="s">
        <v>143</v>
      </c>
      <c r="E303" t="s">
        <v>143</v>
      </c>
      <c r="F303" t="s">
        <v>811</v>
      </c>
    </row>
    <row r="304" spans="1:6" x14ac:dyDescent="0.25">
      <c r="A304" t="s">
        <v>906</v>
      </c>
      <c r="B304" t="s">
        <v>136</v>
      </c>
      <c r="C304" t="s">
        <v>907</v>
      </c>
      <c r="D304">
        <v>5</v>
      </c>
      <c r="E304">
        <v>1</v>
      </c>
      <c r="F304" t="s">
        <v>908</v>
      </c>
    </row>
    <row r="305" spans="1:6" x14ac:dyDescent="0.25">
      <c r="A305" t="s">
        <v>903</v>
      </c>
      <c r="B305" t="s">
        <v>136</v>
      </c>
      <c r="C305" t="s">
        <v>904</v>
      </c>
      <c r="D305">
        <v>40</v>
      </c>
      <c r="E305">
        <v>15</v>
      </c>
      <c r="F305" t="s">
        <v>800</v>
      </c>
    </row>
    <row r="306" spans="1:6" x14ac:dyDescent="0.25">
      <c r="A306" t="s">
        <v>901</v>
      </c>
      <c r="B306" t="s">
        <v>136</v>
      </c>
      <c r="C306" t="s">
        <v>902</v>
      </c>
      <c r="D306">
        <v>40</v>
      </c>
      <c r="E306">
        <v>3</v>
      </c>
      <c r="F306" t="s">
        <v>166</v>
      </c>
    </row>
    <row r="307" spans="1:6" x14ac:dyDescent="0.25">
      <c r="A307" t="s">
        <v>899</v>
      </c>
      <c r="B307" t="s">
        <v>136</v>
      </c>
      <c r="C307" t="s">
        <v>900</v>
      </c>
      <c r="D307">
        <v>40</v>
      </c>
      <c r="E307">
        <v>5</v>
      </c>
      <c r="F307" t="s">
        <v>753</v>
      </c>
    </row>
    <row r="308" spans="1:6" x14ac:dyDescent="0.25">
      <c r="A308" t="s">
        <v>897</v>
      </c>
      <c r="B308" t="s">
        <v>136</v>
      </c>
      <c r="C308" t="s">
        <v>898</v>
      </c>
      <c r="D308">
        <v>40</v>
      </c>
      <c r="E308">
        <v>1</v>
      </c>
      <c r="F308" t="s">
        <v>836</v>
      </c>
    </row>
    <row r="309" spans="1:6" x14ac:dyDescent="0.25">
      <c r="A309" t="s">
        <v>890</v>
      </c>
      <c r="B309" t="s">
        <v>136</v>
      </c>
      <c r="C309" t="s">
        <v>891</v>
      </c>
      <c r="D309" t="s">
        <v>143</v>
      </c>
      <c r="E309" t="s">
        <v>143</v>
      </c>
      <c r="F309" t="s">
        <v>838</v>
      </c>
    </row>
    <row r="310" spans="1:6" x14ac:dyDescent="0.25">
      <c r="A310" t="s">
        <v>888</v>
      </c>
      <c r="B310" t="s">
        <v>136</v>
      </c>
      <c r="C310" t="s">
        <v>889</v>
      </c>
      <c r="D310" t="s">
        <v>143</v>
      </c>
      <c r="E310" t="s">
        <v>143</v>
      </c>
      <c r="F310" t="s">
        <v>839</v>
      </c>
    </row>
    <row r="311" spans="1:6" x14ac:dyDescent="0.25">
      <c r="A311" t="s">
        <v>886</v>
      </c>
      <c r="B311" t="s">
        <v>136</v>
      </c>
      <c r="C311" t="s">
        <v>887</v>
      </c>
      <c r="D311" t="s">
        <v>143</v>
      </c>
      <c r="E311" t="s">
        <v>143</v>
      </c>
      <c r="F311" t="s">
        <v>840</v>
      </c>
    </row>
    <row r="312" spans="1:6" x14ac:dyDescent="0.25">
      <c r="A312" t="s">
        <v>883</v>
      </c>
      <c r="B312" t="s">
        <v>136</v>
      </c>
      <c r="C312" t="s">
        <v>884</v>
      </c>
      <c r="D312">
        <v>60</v>
      </c>
      <c r="E312">
        <v>7</v>
      </c>
      <c r="F312" t="s">
        <v>885</v>
      </c>
    </row>
    <row r="313" spans="1:6" x14ac:dyDescent="0.25">
      <c r="A313" t="s">
        <v>880</v>
      </c>
      <c r="B313" t="s">
        <v>136</v>
      </c>
      <c r="C313" t="s">
        <v>881</v>
      </c>
      <c r="D313">
        <v>60</v>
      </c>
      <c r="E313">
        <v>7</v>
      </c>
      <c r="F313" t="s">
        <v>882</v>
      </c>
    </row>
    <row r="314" spans="1:6" x14ac:dyDescent="0.25">
      <c r="A314" t="s">
        <v>869</v>
      </c>
      <c r="B314" t="s">
        <v>136</v>
      </c>
      <c r="C314" t="s">
        <v>870</v>
      </c>
      <c r="D314">
        <v>60</v>
      </c>
      <c r="E314">
        <v>7</v>
      </c>
      <c r="F314" t="s">
        <v>757</v>
      </c>
    </row>
    <row r="315" spans="1:6" x14ac:dyDescent="0.25">
      <c r="A315" t="s">
        <v>878</v>
      </c>
      <c r="B315" t="s">
        <v>136</v>
      </c>
      <c r="C315" t="s">
        <v>879</v>
      </c>
      <c r="D315">
        <v>40</v>
      </c>
      <c r="E315">
        <v>20</v>
      </c>
      <c r="F315" t="s">
        <v>853</v>
      </c>
    </row>
    <row r="316" spans="1:6" x14ac:dyDescent="0.25">
      <c r="A316" t="s">
        <v>874</v>
      </c>
      <c r="B316" t="s">
        <v>136</v>
      </c>
      <c r="C316" t="s">
        <v>875</v>
      </c>
      <c r="D316">
        <v>60</v>
      </c>
      <c r="E316">
        <v>7</v>
      </c>
      <c r="F316" t="s">
        <v>803</v>
      </c>
    </row>
  </sheetData>
  <sortState ref="A2:F316">
    <sortCondition ref="A2:A316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topLeftCell="A79" zoomScaleNormal="100" workbookViewId="0">
      <selection activeCell="A93" sqref="A93:F133"/>
    </sheetView>
  </sheetViews>
  <sheetFormatPr defaultRowHeight="15" outlineLevelRow="1" x14ac:dyDescent="0.25"/>
  <cols>
    <col min="2" max="2" width="40.85546875" bestFit="1" customWidth="1"/>
    <col min="3" max="3" width="13" customWidth="1"/>
    <col min="4" max="4" width="20.7109375" customWidth="1"/>
    <col min="5" max="5" width="24" customWidth="1"/>
    <col min="6" max="6" width="19.28515625" customWidth="1"/>
    <col min="12" max="13" width="9.28515625" customWidth="1"/>
  </cols>
  <sheetData>
    <row r="1" spans="1:6" s="260" customFormat="1" ht="41.45" customHeight="1" x14ac:dyDescent="0.25">
      <c r="A1" s="424" t="s">
        <v>1221</v>
      </c>
      <c r="B1" s="413"/>
      <c r="C1" s="413"/>
      <c r="D1" s="413"/>
      <c r="E1" s="413"/>
      <c r="F1" s="413"/>
    </row>
    <row r="2" spans="1:6" s="260" customFormat="1" ht="45" customHeight="1" x14ac:dyDescent="0.25">
      <c r="A2" s="420" t="s">
        <v>86</v>
      </c>
      <c r="B2" s="420" t="s">
        <v>87</v>
      </c>
      <c r="C2" s="420" t="s">
        <v>10</v>
      </c>
      <c r="D2" s="321" t="s">
        <v>1213</v>
      </c>
      <c r="E2" s="262" t="s">
        <v>1214</v>
      </c>
      <c r="F2" s="422" t="s">
        <v>1215</v>
      </c>
    </row>
    <row r="3" spans="1:6" s="260" customFormat="1" ht="15.75" x14ac:dyDescent="0.25">
      <c r="A3" s="421"/>
      <c r="B3" s="421"/>
      <c r="C3" s="421"/>
      <c r="D3" s="322" t="s">
        <v>1220</v>
      </c>
      <c r="E3" s="322" t="s">
        <v>1220</v>
      </c>
      <c r="F3" s="423"/>
    </row>
    <row r="4" spans="1:6" s="260" customFormat="1" ht="15.75" x14ac:dyDescent="0.25">
      <c r="A4" s="263"/>
      <c r="B4" s="264" t="s">
        <v>1219</v>
      </c>
      <c r="C4" s="263"/>
      <c r="D4" s="268">
        <f>'QHPK phê duyệt'!D4</f>
        <v>158.933592</v>
      </c>
      <c r="E4" s="265">
        <f>1589335.92/10000</f>
        <v>158.933592</v>
      </c>
      <c r="F4" s="265">
        <f>E4-D4</f>
        <v>0</v>
      </c>
    </row>
    <row r="5" spans="1:6" s="260" customFormat="1" ht="15.75" x14ac:dyDescent="0.25">
      <c r="A5" s="263" t="s">
        <v>606</v>
      </c>
      <c r="B5" s="264" t="s">
        <v>594</v>
      </c>
      <c r="C5" s="263"/>
      <c r="D5" s="268">
        <f>'QHPK phê duyệt'!D5</f>
        <v>47.347599999999993</v>
      </c>
      <c r="E5" s="265">
        <f>E6+E41</f>
        <v>42.615699999999997</v>
      </c>
      <c r="F5" s="265">
        <f>E5-D5</f>
        <v>-4.731899999999996</v>
      </c>
    </row>
    <row r="6" spans="1:6" s="260" customFormat="1" ht="15.75" x14ac:dyDescent="0.25">
      <c r="A6" s="274">
        <v>1</v>
      </c>
      <c r="B6" s="278" t="s">
        <v>593</v>
      </c>
      <c r="C6" s="318"/>
      <c r="D6" s="267">
        <f>'QHPK phê duyệt'!D6</f>
        <v>28.533299999999997</v>
      </c>
      <c r="E6" s="267">
        <f>+E7+E14+E35+E36+E38</f>
        <v>28.381899999999998</v>
      </c>
      <c r="F6" s="265">
        <f t="shared" ref="F6:F68" si="0">E6-D6</f>
        <v>-0.15139999999999887</v>
      </c>
    </row>
    <row r="7" spans="1:6" s="260" customFormat="1" ht="15.75" x14ac:dyDescent="0.25">
      <c r="A7" s="272">
        <v>1.1000000000000001</v>
      </c>
      <c r="B7" s="273" t="s">
        <v>89</v>
      </c>
      <c r="C7" s="318" t="s">
        <v>1217</v>
      </c>
      <c r="D7" s="276">
        <f>'QHPK phê duyệt'!D7</f>
        <v>5.9849999999999994</v>
      </c>
      <c r="E7" s="276">
        <f>+E8</f>
        <v>6.1418000000000008</v>
      </c>
      <c r="F7" s="279">
        <f t="shared" si="0"/>
        <v>0.15680000000000138</v>
      </c>
    </row>
    <row r="8" spans="1:6" s="260" customFormat="1" ht="15.4" hidden="1" customHeight="1" outlineLevel="1" x14ac:dyDescent="0.25">
      <c r="A8" s="272" t="s">
        <v>707</v>
      </c>
      <c r="B8" s="273" t="s">
        <v>36</v>
      </c>
      <c r="C8" s="318" t="s">
        <v>1212</v>
      </c>
      <c r="D8" s="274"/>
      <c r="E8" s="276">
        <f>+SUM(E9:E13)</f>
        <v>6.1418000000000008</v>
      </c>
      <c r="F8" s="279">
        <f t="shared" si="0"/>
        <v>6.1418000000000008</v>
      </c>
    </row>
    <row r="9" spans="1:6" s="260" customFormat="1" ht="15.4" hidden="1" customHeight="1" outlineLevel="1" x14ac:dyDescent="0.25">
      <c r="A9" s="274"/>
      <c r="B9" s="273" t="s">
        <v>36</v>
      </c>
      <c r="C9" s="318" t="s">
        <v>468</v>
      </c>
      <c r="D9" s="274"/>
      <c r="E9" s="276">
        <v>1.5847</v>
      </c>
      <c r="F9" s="279">
        <f t="shared" si="0"/>
        <v>1.5847</v>
      </c>
    </row>
    <row r="10" spans="1:6" s="260" customFormat="1" ht="15.4" hidden="1" customHeight="1" outlineLevel="1" x14ac:dyDescent="0.25">
      <c r="A10" s="274"/>
      <c r="B10" s="273" t="s">
        <v>36</v>
      </c>
      <c r="C10" s="318" t="s">
        <v>466</v>
      </c>
      <c r="D10" s="274"/>
      <c r="E10" s="276">
        <v>1.3108</v>
      </c>
      <c r="F10" s="279">
        <f t="shared" si="0"/>
        <v>1.3108</v>
      </c>
    </row>
    <row r="11" spans="1:6" s="260" customFormat="1" ht="15.4" hidden="1" customHeight="1" outlineLevel="1" x14ac:dyDescent="0.25">
      <c r="A11" s="274"/>
      <c r="B11" s="273" t="s">
        <v>36</v>
      </c>
      <c r="C11" s="318" t="s">
        <v>464</v>
      </c>
      <c r="D11" s="274"/>
      <c r="E11" s="276">
        <v>1.1560999999999999</v>
      </c>
      <c r="F11" s="279">
        <f t="shared" si="0"/>
        <v>1.1560999999999999</v>
      </c>
    </row>
    <row r="12" spans="1:6" s="260" customFormat="1" ht="15.4" hidden="1" customHeight="1" outlineLevel="1" x14ac:dyDescent="0.25">
      <c r="A12" s="274"/>
      <c r="B12" s="273" t="s">
        <v>36</v>
      </c>
      <c r="C12" s="318" t="s">
        <v>462</v>
      </c>
      <c r="D12" s="274"/>
      <c r="E12" s="276">
        <v>0.58720000000000006</v>
      </c>
      <c r="F12" s="279">
        <f t="shared" si="0"/>
        <v>0.58720000000000006</v>
      </c>
    </row>
    <row r="13" spans="1:6" s="260" customFormat="1" ht="15.4" hidden="1" customHeight="1" collapsed="1" x14ac:dyDescent="0.25">
      <c r="A13" s="274"/>
      <c r="B13" s="273" t="s">
        <v>36</v>
      </c>
      <c r="C13" s="318" t="s">
        <v>460</v>
      </c>
      <c r="D13" s="274"/>
      <c r="E13" s="276">
        <v>1.5029999999999999</v>
      </c>
      <c r="F13" s="279">
        <f t="shared" si="0"/>
        <v>1.5029999999999999</v>
      </c>
    </row>
    <row r="14" spans="1:6" s="260" customFormat="1" ht="15.75" x14ac:dyDescent="0.25">
      <c r="A14" s="272">
        <v>1.2</v>
      </c>
      <c r="B14" s="273" t="s">
        <v>90</v>
      </c>
      <c r="C14" s="318" t="s">
        <v>110</v>
      </c>
      <c r="D14" s="276">
        <f>'QHPK phê duyệt'!D14</f>
        <v>21.339999999999996</v>
      </c>
      <c r="E14" s="276">
        <f>+SUM(E15:E34)</f>
        <v>21.031799999999997</v>
      </c>
      <c r="F14" s="279">
        <f t="shared" si="0"/>
        <v>-0.30819999999999936</v>
      </c>
    </row>
    <row r="15" spans="1:6" s="260" customFormat="1" ht="15.4" hidden="1" customHeight="1" outlineLevel="1" x14ac:dyDescent="0.25">
      <c r="A15" s="272"/>
      <c r="B15" s="273" t="s">
        <v>90</v>
      </c>
      <c r="C15" s="318" t="s">
        <v>584</v>
      </c>
      <c r="D15" s="274"/>
      <c r="E15" s="276">
        <v>0.1</v>
      </c>
      <c r="F15" s="279">
        <f t="shared" si="0"/>
        <v>0.1</v>
      </c>
    </row>
    <row r="16" spans="1:6" s="260" customFormat="1" ht="15.4" hidden="1" customHeight="1" outlineLevel="1" x14ac:dyDescent="0.25">
      <c r="A16" s="272"/>
      <c r="B16" s="273" t="s">
        <v>90</v>
      </c>
      <c r="C16" s="318" t="s">
        <v>580</v>
      </c>
      <c r="D16" s="274"/>
      <c r="E16" s="276">
        <v>0.17</v>
      </c>
      <c r="F16" s="279">
        <f t="shared" si="0"/>
        <v>0.17</v>
      </c>
    </row>
    <row r="17" spans="1:6" s="260" customFormat="1" ht="15.4" hidden="1" customHeight="1" outlineLevel="1" x14ac:dyDescent="0.25">
      <c r="A17" s="272"/>
      <c r="B17" s="273" t="s">
        <v>90</v>
      </c>
      <c r="C17" s="318" t="s">
        <v>582</v>
      </c>
      <c r="D17" s="274"/>
      <c r="E17" s="276">
        <v>0.06</v>
      </c>
      <c r="F17" s="279">
        <f t="shared" si="0"/>
        <v>0.06</v>
      </c>
    </row>
    <row r="18" spans="1:6" s="260" customFormat="1" ht="15.4" hidden="1" customHeight="1" outlineLevel="1" x14ac:dyDescent="0.25">
      <c r="A18" s="272"/>
      <c r="B18" s="273" t="s">
        <v>90</v>
      </c>
      <c r="C18" s="318" t="s">
        <v>578</v>
      </c>
      <c r="D18" s="274"/>
      <c r="E18" s="276">
        <v>0.31</v>
      </c>
      <c r="F18" s="279">
        <f t="shared" si="0"/>
        <v>0.31</v>
      </c>
    </row>
    <row r="19" spans="1:6" s="260" customFormat="1" ht="15.4" hidden="1" customHeight="1" outlineLevel="1" x14ac:dyDescent="0.25">
      <c r="A19" s="274"/>
      <c r="B19" s="273" t="s">
        <v>90</v>
      </c>
      <c r="C19" s="318" t="s">
        <v>576</v>
      </c>
      <c r="D19" s="274"/>
      <c r="E19" s="276">
        <v>0.25</v>
      </c>
      <c r="F19" s="279">
        <f t="shared" si="0"/>
        <v>0.25</v>
      </c>
    </row>
    <row r="20" spans="1:6" s="260" customFormat="1" ht="15.4" hidden="1" customHeight="1" outlineLevel="1" x14ac:dyDescent="0.25">
      <c r="A20" s="274"/>
      <c r="B20" s="273" t="s">
        <v>90</v>
      </c>
      <c r="C20" s="318" t="s">
        <v>568</v>
      </c>
      <c r="D20" s="274"/>
      <c r="E20" s="276">
        <v>0.64</v>
      </c>
      <c r="F20" s="279">
        <f t="shared" si="0"/>
        <v>0.64</v>
      </c>
    </row>
    <row r="21" spans="1:6" s="260" customFormat="1" ht="15.4" hidden="1" customHeight="1" outlineLevel="1" x14ac:dyDescent="0.25">
      <c r="A21" s="274"/>
      <c r="B21" s="273" t="s">
        <v>90</v>
      </c>
      <c r="C21" s="318" t="s">
        <v>574</v>
      </c>
      <c r="D21" s="274"/>
      <c r="E21" s="276">
        <v>2.89</v>
      </c>
      <c r="F21" s="279">
        <f t="shared" si="0"/>
        <v>2.89</v>
      </c>
    </row>
    <row r="22" spans="1:6" s="260" customFormat="1" ht="15.4" hidden="1" customHeight="1" outlineLevel="1" x14ac:dyDescent="0.25">
      <c r="A22" s="274"/>
      <c r="B22" s="273" t="s">
        <v>90</v>
      </c>
      <c r="C22" s="318" t="s">
        <v>570</v>
      </c>
      <c r="D22" s="274"/>
      <c r="E22" s="276">
        <v>0.48</v>
      </c>
      <c r="F22" s="279">
        <f t="shared" si="0"/>
        <v>0.48</v>
      </c>
    </row>
    <row r="23" spans="1:6" s="260" customFormat="1" ht="15.4" hidden="1" customHeight="1" outlineLevel="1" x14ac:dyDescent="0.25">
      <c r="A23" s="274"/>
      <c r="B23" s="273" t="s">
        <v>90</v>
      </c>
      <c r="C23" s="318" t="s">
        <v>572</v>
      </c>
      <c r="D23" s="274"/>
      <c r="E23" s="276">
        <v>1.31</v>
      </c>
      <c r="F23" s="279">
        <f t="shared" si="0"/>
        <v>1.31</v>
      </c>
    </row>
    <row r="24" spans="1:6" s="260" customFormat="1" ht="15.4" hidden="1" customHeight="1" outlineLevel="1" x14ac:dyDescent="0.25">
      <c r="A24" s="274"/>
      <c r="B24" s="273" t="s">
        <v>90</v>
      </c>
      <c r="C24" s="318" t="s">
        <v>566</v>
      </c>
      <c r="D24" s="274"/>
      <c r="E24" s="276">
        <v>0.3</v>
      </c>
      <c r="F24" s="279">
        <f t="shared" si="0"/>
        <v>0.3</v>
      </c>
    </row>
    <row r="25" spans="1:6" s="260" customFormat="1" ht="15.4" hidden="1" customHeight="1" outlineLevel="1" x14ac:dyDescent="0.25">
      <c r="A25" s="274"/>
      <c r="B25" s="273" t="s">
        <v>90</v>
      </c>
      <c r="C25" s="318" t="s">
        <v>564</v>
      </c>
      <c r="D25" s="274"/>
      <c r="E25" s="276">
        <v>1.61</v>
      </c>
      <c r="F25" s="279">
        <f t="shared" si="0"/>
        <v>1.61</v>
      </c>
    </row>
    <row r="26" spans="1:6" s="260" customFormat="1" ht="15.4" hidden="1" customHeight="1" outlineLevel="1" x14ac:dyDescent="0.25">
      <c r="A26" s="274"/>
      <c r="B26" s="273" t="s">
        <v>90</v>
      </c>
      <c r="C26" s="318" t="s">
        <v>562</v>
      </c>
      <c r="D26" s="274"/>
      <c r="E26" s="276">
        <v>0.64</v>
      </c>
      <c r="F26" s="279">
        <f t="shared" si="0"/>
        <v>0.64</v>
      </c>
    </row>
    <row r="27" spans="1:6" s="260" customFormat="1" ht="15.4" hidden="1" customHeight="1" outlineLevel="1" x14ac:dyDescent="0.25">
      <c r="A27" s="274"/>
      <c r="B27" s="273" t="s">
        <v>90</v>
      </c>
      <c r="C27" s="318" t="s">
        <v>560</v>
      </c>
      <c r="D27" s="274"/>
      <c r="E27" s="276">
        <v>1.5259</v>
      </c>
      <c r="F27" s="279">
        <f t="shared" si="0"/>
        <v>1.5259</v>
      </c>
    </row>
    <row r="28" spans="1:6" s="260" customFormat="1" ht="15.4" hidden="1" customHeight="1" outlineLevel="1" x14ac:dyDescent="0.25">
      <c r="A28" s="274"/>
      <c r="B28" s="273" t="s">
        <v>90</v>
      </c>
      <c r="C28" s="318" t="s">
        <v>558</v>
      </c>
      <c r="D28" s="274"/>
      <c r="E28" s="276">
        <v>0.85</v>
      </c>
      <c r="F28" s="279">
        <f t="shared" si="0"/>
        <v>0.85</v>
      </c>
    </row>
    <row r="29" spans="1:6" s="260" customFormat="1" ht="15.4" hidden="1" customHeight="1" outlineLevel="1" x14ac:dyDescent="0.25">
      <c r="A29" s="274"/>
      <c r="B29" s="273" t="s">
        <v>90</v>
      </c>
      <c r="C29" s="318" t="s">
        <v>556</v>
      </c>
      <c r="D29" s="274"/>
      <c r="E29" s="276">
        <v>5.3959000000000001</v>
      </c>
      <c r="F29" s="279">
        <f t="shared" si="0"/>
        <v>5.3959000000000001</v>
      </c>
    </row>
    <row r="30" spans="1:6" s="260" customFormat="1" ht="15.4" hidden="1" customHeight="1" outlineLevel="1" x14ac:dyDescent="0.25">
      <c r="A30" s="274"/>
      <c r="B30" s="273" t="s">
        <v>90</v>
      </c>
      <c r="C30" s="318" t="s">
        <v>554</v>
      </c>
      <c r="D30" s="274"/>
      <c r="E30" s="276">
        <v>1.84</v>
      </c>
      <c r="F30" s="279">
        <f t="shared" si="0"/>
        <v>1.84</v>
      </c>
    </row>
    <row r="31" spans="1:6" s="260" customFormat="1" ht="15.4" hidden="1" customHeight="1" outlineLevel="1" x14ac:dyDescent="0.25">
      <c r="A31" s="274"/>
      <c r="B31" s="273" t="s">
        <v>90</v>
      </c>
      <c r="C31" s="318" t="s">
        <v>736</v>
      </c>
      <c r="D31" s="274"/>
      <c r="E31" s="276">
        <v>2.13</v>
      </c>
      <c r="F31" s="279">
        <f t="shared" si="0"/>
        <v>2.13</v>
      </c>
    </row>
    <row r="32" spans="1:6" s="260" customFormat="1" ht="15.4" hidden="1" customHeight="1" outlineLevel="1" x14ac:dyDescent="0.25">
      <c r="A32" s="274"/>
      <c r="B32" s="273" t="s">
        <v>90</v>
      </c>
      <c r="C32" s="318" t="s">
        <v>737</v>
      </c>
      <c r="D32" s="274"/>
      <c r="E32" s="276">
        <v>0.4</v>
      </c>
      <c r="F32" s="279">
        <f t="shared" si="0"/>
        <v>0.4</v>
      </c>
    </row>
    <row r="33" spans="1:6" s="260" customFormat="1" ht="15.4" hidden="1" customHeight="1" outlineLevel="1" x14ac:dyDescent="0.25">
      <c r="A33" s="274"/>
      <c r="B33" s="273" t="s">
        <v>90</v>
      </c>
      <c r="C33" s="318" t="s">
        <v>738</v>
      </c>
      <c r="D33" s="274"/>
      <c r="E33" s="276">
        <v>0.05</v>
      </c>
      <c r="F33" s="279">
        <f t="shared" si="0"/>
        <v>0.05</v>
      </c>
    </row>
    <row r="34" spans="1:6" s="260" customFormat="1" ht="15.4" hidden="1" customHeight="1" outlineLevel="1" x14ac:dyDescent="0.25">
      <c r="A34" s="274"/>
      <c r="B34" s="273" t="s">
        <v>90</v>
      </c>
      <c r="C34" s="318" t="s">
        <v>739</v>
      </c>
      <c r="D34" s="274"/>
      <c r="E34" s="276">
        <v>0.08</v>
      </c>
      <c r="F34" s="279">
        <f t="shared" si="0"/>
        <v>0.08</v>
      </c>
    </row>
    <row r="35" spans="1:6" s="260" customFormat="1" ht="15.75" collapsed="1" x14ac:dyDescent="0.25">
      <c r="A35" s="272">
        <v>1.3</v>
      </c>
      <c r="B35" s="273" t="s">
        <v>119</v>
      </c>
      <c r="C35" s="318" t="s">
        <v>1216</v>
      </c>
      <c r="D35" s="276">
        <f>'QHPK phê duyệt'!D35</f>
        <v>0.2883</v>
      </c>
      <c r="E35" s="276">
        <v>0.2883</v>
      </c>
      <c r="F35" s="279">
        <f t="shared" si="0"/>
        <v>0</v>
      </c>
    </row>
    <row r="36" spans="1:6" s="260" customFormat="1" ht="15.75" x14ac:dyDescent="0.25">
      <c r="A36" s="272">
        <v>1.4</v>
      </c>
      <c r="B36" s="273" t="s">
        <v>118</v>
      </c>
      <c r="C36" s="318" t="s">
        <v>1218</v>
      </c>
      <c r="D36" s="276">
        <f>'QHPK phê duyệt'!D36</f>
        <v>0.56999999999999995</v>
      </c>
      <c r="E36" s="276">
        <f>+E37</f>
        <v>0.56999999999999995</v>
      </c>
      <c r="F36" s="279">
        <f t="shared" si="0"/>
        <v>0</v>
      </c>
    </row>
    <row r="37" spans="1:6" s="260" customFormat="1" ht="15.4" hidden="1" customHeight="1" x14ac:dyDescent="0.25">
      <c r="A37" s="274"/>
      <c r="B37" s="278" t="s">
        <v>93</v>
      </c>
      <c r="C37" s="318" t="s">
        <v>372</v>
      </c>
      <c r="D37" s="274"/>
      <c r="E37" s="276">
        <v>0.56999999999999995</v>
      </c>
      <c r="F37" s="279">
        <f t="shared" si="0"/>
        <v>0.56999999999999995</v>
      </c>
    </row>
    <row r="38" spans="1:6" s="260" customFormat="1" ht="15.75" x14ac:dyDescent="0.25">
      <c r="A38" s="272">
        <v>1.5</v>
      </c>
      <c r="B38" s="273" t="s">
        <v>661</v>
      </c>
      <c r="C38" s="318" t="s">
        <v>111</v>
      </c>
      <c r="D38" s="276">
        <f>'QHPK phê duyệt'!D38</f>
        <v>0.35</v>
      </c>
      <c r="E38" s="276">
        <f>+E39+E40</f>
        <v>0.35</v>
      </c>
      <c r="F38" s="279">
        <f t="shared" si="0"/>
        <v>0</v>
      </c>
    </row>
    <row r="39" spans="1:6" s="260" customFormat="1" ht="15.4" hidden="1" customHeight="1" outlineLevel="1" x14ac:dyDescent="0.25">
      <c r="A39" s="274"/>
      <c r="B39" s="278"/>
      <c r="C39" s="318" t="s">
        <v>662</v>
      </c>
      <c r="D39" s="274"/>
      <c r="E39" s="276">
        <v>0.32</v>
      </c>
      <c r="F39" s="279">
        <f t="shared" si="0"/>
        <v>0.32</v>
      </c>
    </row>
    <row r="40" spans="1:6" s="260" customFormat="1" ht="15.4" hidden="1" customHeight="1" collapsed="1" x14ac:dyDescent="0.25">
      <c r="A40" s="274"/>
      <c r="B40" s="278"/>
      <c r="C40" s="318" t="s">
        <v>741</v>
      </c>
      <c r="D40" s="274"/>
      <c r="E40" s="276">
        <v>0.03</v>
      </c>
      <c r="F40" s="279">
        <f t="shared" si="0"/>
        <v>0.03</v>
      </c>
    </row>
    <row r="41" spans="1:6" s="260" customFormat="1" ht="15.75" x14ac:dyDescent="0.25">
      <c r="A41" s="274">
        <v>2</v>
      </c>
      <c r="B41" s="278" t="s">
        <v>596</v>
      </c>
      <c r="C41" s="318" t="s">
        <v>75</v>
      </c>
      <c r="D41" s="267">
        <f>'QHPK phê duyệt'!D41</f>
        <v>18.814299999999996</v>
      </c>
      <c r="E41" s="276">
        <f>+SUM(E42:E47)</f>
        <v>14.2338</v>
      </c>
      <c r="F41" s="279">
        <f t="shared" si="0"/>
        <v>-4.5804999999999954</v>
      </c>
    </row>
    <row r="42" spans="1:6" s="260" customFormat="1" ht="15.75" hidden="1" outlineLevel="1" x14ac:dyDescent="0.25">
      <c r="A42" s="274"/>
      <c r="B42" s="278"/>
      <c r="C42" s="274" t="s">
        <v>599</v>
      </c>
      <c r="D42" s="274"/>
      <c r="E42" s="276">
        <v>6.2123999999999997</v>
      </c>
      <c r="F42" s="265">
        <f t="shared" si="0"/>
        <v>6.2123999999999997</v>
      </c>
    </row>
    <row r="43" spans="1:6" s="260" customFormat="1" ht="15.75" hidden="1" outlineLevel="1" x14ac:dyDescent="0.25">
      <c r="A43" s="274"/>
      <c r="B43" s="278"/>
      <c r="C43" s="274" t="s">
        <v>600</v>
      </c>
      <c r="D43" s="274"/>
      <c r="E43" s="276">
        <v>0.89970000000000006</v>
      </c>
      <c r="F43" s="265">
        <f t="shared" si="0"/>
        <v>0.89970000000000006</v>
      </c>
    </row>
    <row r="44" spans="1:6" s="260" customFormat="1" ht="15.75" hidden="1" outlineLevel="1" x14ac:dyDescent="0.25">
      <c r="A44" s="274"/>
      <c r="B44" s="278"/>
      <c r="C44" s="274" t="s">
        <v>601</v>
      </c>
      <c r="D44" s="274"/>
      <c r="E44" s="276">
        <v>3.4527000000000001</v>
      </c>
      <c r="F44" s="265">
        <f t="shared" si="0"/>
        <v>3.4527000000000001</v>
      </c>
    </row>
    <row r="45" spans="1:6" s="260" customFormat="1" ht="15.75" hidden="1" outlineLevel="1" x14ac:dyDescent="0.25">
      <c r="A45" s="274"/>
      <c r="B45" s="278"/>
      <c r="C45" s="274" t="s">
        <v>602</v>
      </c>
      <c r="D45" s="274"/>
      <c r="E45" s="276">
        <v>1.7297</v>
      </c>
      <c r="F45" s="265">
        <f t="shared" si="0"/>
        <v>1.7297</v>
      </c>
    </row>
    <row r="46" spans="1:6" s="260" customFormat="1" ht="15" hidden="1" customHeight="1" outlineLevel="1" x14ac:dyDescent="0.25">
      <c r="A46" s="274"/>
      <c r="B46" s="278"/>
      <c r="C46" s="274" t="s">
        <v>603</v>
      </c>
      <c r="D46" s="274"/>
      <c r="E46" s="276">
        <v>1.0904</v>
      </c>
      <c r="F46" s="265">
        <f t="shared" si="0"/>
        <v>1.0904</v>
      </c>
    </row>
    <row r="47" spans="1:6" s="260" customFormat="1" ht="15.75" hidden="1" collapsed="1" x14ac:dyDescent="0.25">
      <c r="A47" s="274"/>
      <c r="B47" s="278"/>
      <c r="C47" s="274" t="s">
        <v>1208</v>
      </c>
      <c r="D47" s="274"/>
      <c r="E47" s="276">
        <v>0.84889999999999999</v>
      </c>
      <c r="F47" s="265">
        <f t="shared" si="0"/>
        <v>0.84889999999999999</v>
      </c>
    </row>
    <row r="48" spans="1:6" s="260" customFormat="1" ht="15.75" x14ac:dyDescent="0.25">
      <c r="A48" s="263" t="s">
        <v>607</v>
      </c>
      <c r="B48" s="264" t="s">
        <v>595</v>
      </c>
      <c r="C48" s="263"/>
      <c r="D48" s="268">
        <f>'QHPK phê duyệt'!D47</f>
        <v>89.91510000000001</v>
      </c>
      <c r="E48" s="265">
        <f>+E49+E54+E57+E62+E63+E67+E68+E72</f>
        <v>84.941000000000003</v>
      </c>
      <c r="F48" s="265">
        <f t="shared" si="0"/>
        <v>-4.9741000000000071</v>
      </c>
    </row>
    <row r="49" spans="1:6" s="260" customFormat="1" ht="15.75" x14ac:dyDescent="0.25">
      <c r="A49" s="274">
        <v>1</v>
      </c>
      <c r="B49" s="278" t="s">
        <v>47</v>
      </c>
      <c r="C49" s="318" t="s">
        <v>77</v>
      </c>
      <c r="D49" s="276">
        <f>'QHPK phê duyệt'!D48</f>
        <v>36.28</v>
      </c>
      <c r="E49" s="276">
        <f>+SUM(E50:E53)</f>
        <v>36.456400000000002</v>
      </c>
      <c r="F49" s="279">
        <f t="shared" si="0"/>
        <v>0.176400000000001</v>
      </c>
    </row>
    <row r="50" spans="1:6" s="260" customFormat="1" ht="15.75" hidden="1" outlineLevel="1" x14ac:dyDescent="0.25">
      <c r="A50" s="274"/>
      <c r="B50" s="278"/>
      <c r="C50" s="274" t="s">
        <v>380</v>
      </c>
      <c r="D50" s="274"/>
      <c r="E50" s="276">
        <v>13.1225</v>
      </c>
      <c r="F50" s="279">
        <f t="shared" si="0"/>
        <v>13.1225</v>
      </c>
    </row>
    <row r="51" spans="1:6" s="260" customFormat="1" ht="15.75" hidden="1" outlineLevel="1" x14ac:dyDescent="0.25">
      <c r="A51" s="274"/>
      <c r="B51" s="278"/>
      <c r="C51" s="274" t="s">
        <v>378</v>
      </c>
      <c r="D51" s="274"/>
      <c r="E51" s="276">
        <v>2.2646999999999999</v>
      </c>
      <c r="F51" s="279">
        <f t="shared" si="0"/>
        <v>2.2646999999999999</v>
      </c>
    </row>
    <row r="52" spans="1:6" s="260" customFormat="1" ht="15.75" hidden="1" outlineLevel="1" x14ac:dyDescent="0.25">
      <c r="A52" s="274"/>
      <c r="B52" s="278"/>
      <c r="C52" s="274" t="s">
        <v>1209</v>
      </c>
      <c r="D52" s="274"/>
      <c r="E52" s="276">
        <v>7.2961999999999998</v>
      </c>
      <c r="F52" s="279">
        <f t="shared" si="0"/>
        <v>7.2961999999999998</v>
      </c>
    </row>
    <row r="53" spans="1:6" s="260" customFormat="1" ht="15.75" hidden="1" collapsed="1" x14ac:dyDescent="0.25">
      <c r="A53" s="274"/>
      <c r="B53" s="278"/>
      <c r="C53" s="274" t="s">
        <v>378</v>
      </c>
      <c r="D53" s="274"/>
      <c r="E53" s="276">
        <v>13.773</v>
      </c>
      <c r="F53" s="279">
        <f t="shared" si="0"/>
        <v>13.773</v>
      </c>
    </row>
    <row r="54" spans="1:6" s="260" customFormat="1" ht="15.75" x14ac:dyDescent="0.25">
      <c r="A54" s="274">
        <v>2</v>
      </c>
      <c r="B54" s="278" t="s">
        <v>92</v>
      </c>
      <c r="C54" s="318" t="s">
        <v>112</v>
      </c>
      <c r="D54" s="276">
        <f>'QHPK phê duyệt'!D51</f>
        <v>1.65</v>
      </c>
      <c r="E54" s="276">
        <f>+SUM(E55:E56)</f>
        <v>2.4971000000000001</v>
      </c>
      <c r="F54" s="279">
        <f t="shared" si="0"/>
        <v>0.84710000000000019</v>
      </c>
    </row>
    <row r="55" spans="1:6" s="260" customFormat="1" ht="15.75" hidden="1" x14ac:dyDescent="0.25">
      <c r="A55" s="274"/>
      <c r="B55" s="278"/>
      <c r="C55" s="274" t="s">
        <v>659</v>
      </c>
      <c r="D55" s="274"/>
      <c r="E55" s="276">
        <v>0.46610000000000001</v>
      </c>
      <c r="F55" s="279">
        <f t="shared" si="0"/>
        <v>0.46610000000000001</v>
      </c>
    </row>
    <row r="56" spans="1:6" s="260" customFormat="1" ht="15.75" hidden="1" x14ac:dyDescent="0.25">
      <c r="A56" s="274"/>
      <c r="B56" s="278"/>
      <c r="C56" s="274" t="s">
        <v>660</v>
      </c>
      <c r="D56" s="274"/>
      <c r="E56" s="276">
        <v>2.0310000000000001</v>
      </c>
      <c r="F56" s="279">
        <f t="shared" si="0"/>
        <v>2.0310000000000001</v>
      </c>
    </row>
    <row r="57" spans="1:6" s="260" customFormat="1" ht="15.75" x14ac:dyDescent="0.25">
      <c r="A57" s="274">
        <v>3</v>
      </c>
      <c r="B57" s="278" t="s">
        <v>96</v>
      </c>
      <c r="C57" s="318" t="s">
        <v>6</v>
      </c>
      <c r="D57" s="276">
        <f>'QHPK phê duyệt'!D54</f>
        <v>9.4390999999999998</v>
      </c>
      <c r="E57" s="276">
        <f>+SUM(E58:E61)</f>
        <v>9.4390999999999998</v>
      </c>
      <c r="F57" s="279">
        <f t="shared" si="0"/>
        <v>0</v>
      </c>
    </row>
    <row r="58" spans="1:6" s="260" customFormat="1" ht="15.75" hidden="1" x14ac:dyDescent="0.25">
      <c r="A58" s="274"/>
      <c r="B58" s="278"/>
      <c r="C58" s="274" t="s">
        <v>370</v>
      </c>
      <c r="D58" s="274"/>
      <c r="E58" s="276">
        <v>0.39460000000000001</v>
      </c>
      <c r="F58" s="279">
        <f t="shared" si="0"/>
        <v>0.39460000000000001</v>
      </c>
    </row>
    <row r="59" spans="1:6" s="260" customFormat="1" ht="15.75" hidden="1" x14ac:dyDescent="0.25">
      <c r="A59" s="274"/>
      <c r="B59" s="278"/>
      <c r="C59" s="274" t="s">
        <v>368</v>
      </c>
      <c r="D59" s="274"/>
      <c r="E59" s="276">
        <v>1.0246999999999999</v>
      </c>
      <c r="F59" s="279">
        <f t="shared" si="0"/>
        <v>1.0246999999999999</v>
      </c>
    </row>
    <row r="60" spans="1:6" s="260" customFormat="1" ht="15.75" hidden="1" x14ac:dyDescent="0.25">
      <c r="A60" s="274"/>
      <c r="B60" s="278"/>
      <c r="C60" s="274" t="s">
        <v>366</v>
      </c>
      <c r="D60" s="274"/>
      <c r="E60" s="276">
        <v>3.6457000000000002</v>
      </c>
      <c r="F60" s="279">
        <f t="shared" si="0"/>
        <v>3.6457000000000002</v>
      </c>
    </row>
    <row r="61" spans="1:6" s="260" customFormat="1" ht="15.75" hidden="1" x14ac:dyDescent="0.25">
      <c r="A61" s="274"/>
      <c r="B61" s="278"/>
      <c r="C61" s="274" t="s">
        <v>364</v>
      </c>
      <c r="D61" s="274"/>
      <c r="E61" s="276">
        <v>4.3741000000000003</v>
      </c>
      <c r="F61" s="279">
        <f t="shared" si="0"/>
        <v>4.3741000000000003</v>
      </c>
    </row>
    <row r="62" spans="1:6" s="260" customFormat="1" ht="15.75" x14ac:dyDescent="0.25">
      <c r="A62" s="274">
        <v>4</v>
      </c>
      <c r="B62" s="278" t="s">
        <v>98</v>
      </c>
      <c r="C62" s="318" t="s">
        <v>394</v>
      </c>
      <c r="D62" s="276">
        <f>'QHPK phê duyệt'!D59</f>
        <v>0.60940000000000005</v>
      </c>
      <c r="E62" s="276">
        <v>0.60940000000000005</v>
      </c>
      <c r="F62" s="279">
        <f t="shared" si="0"/>
        <v>0</v>
      </c>
    </row>
    <row r="63" spans="1:6" s="260" customFormat="1" ht="15.75" x14ac:dyDescent="0.25">
      <c r="A63" s="274">
        <v>5</v>
      </c>
      <c r="B63" s="278" t="s">
        <v>99</v>
      </c>
      <c r="C63" s="318" t="s">
        <v>115</v>
      </c>
      <c r="D63" s="276">
        <f>'QHPK phê duyệt'!D60</f>
        <v>0.42</v>
      </c>
      <c r="E63" s="276">
        <f>SUM(E64,E65,E66)</f>
        <v>4.9001999999999999</v>
      </c>
      <c r="F63" s="279">
        <f t="shared" si="0"/>
        <v>4.4802</v>
      </c>
    </row>
    <row r="64" spans="1:6" s="260" customFormat="1" ht="15.75" hidden="1" x14ac:dyDescent="0.25">
      <c r="A64" s="274"/>
      <c r="B64" s="278"/>
      <c r="C64" s="274" t="s">
        <v>604</v>
      </c>
      <c r="D64" s="274"/>
      <c r="E64" s="276">
        <v>0.42680000000000001</v>
      </c>
      <c r="F64" s="279">
        <f t="shared" si="0"/>
        <v>0.42680000000000001</v>
      </c>
    </row>
    <row r="65" spans="1:6" s="260" customFormat="1" ht="15.75" hidden="1" x14ac:dyDescent="0.25">
      <c r="A65" s="274"/>
      <c r="B65" s="278"/>
      <c r="C65" s="274" t="s">
        <v>1210</v>
      </c>
      <c r="D65" s="274"/>
      <c r="E65" s="276">
        <v>1.2735000000000001</v>
      </c>
      <c r="F65" s="279">
        <f t="shared" si="0"/>
        <v>1.2735000000000001</v>
      </c>
    </row>
    <row r="66" spans="1:6" s="260" customFormat="1" ht="15.75" hidden="1" x14ac:dyDescent="0.25">
      <c r="A66" s="274"/>
      <c r="B66" s="278"/>
      <c r="C66" s="274" t="s">
        <v>1211</v>
      </c>
      <c r="D66" s="274"/>
      <c r="E66" s="276">
        <v>3.1999</v>
      </c>
      <c r="F66" s="279">
        <f t="shared" si="0"/>
        <v>3.1999</v>
      </c>
    </row>
    <row r="67" spans="1:6" s="260" customFormat="1" ht="15.75" x14ac:dyDescent="0.25">
      <c r="A67" s="274">
        <v>6</v>
      </c>
      <c r="B67" s="278" t="s">
        <v>100</v>
      </c>
      <c r="C67" s="318" t="s">
        <v>374</v>
      </c>
      <c r="D67" s="276">
        <f>'QHPK phê duyệt'!D61</f>
        <v>19.440000000000001</v>
      </c>
      <c r="E67" s="276">
        <v>14.472099999999999</v>
      </c>
      <c r="F67" s="279">
        <f t="shared" si="0"/>
        <v>-4.967900000000002</v>
      </c>
    </row>
    <row r="68" spans="1:6" s="260" customFormat="1" ht="15.75" x14ac:dyDescent="0.25">
      <c r="A68" s="274">
        <v>7</v>
      </c>
      <c r="B68" s="278" t="s">
        <v>105</v>
      </c>
      <c r="C68" s="318" t="s">
        <v>85</v>
      </c>
      <c r="D68" s="276">
        <f>'QHPK phê duyệt'!D62</f>
        <v>4.3100000000000005</v>
      </c>
      <c r="E68" s="276">
        <f>+SUM(E69:E71)</f>
        <v>4.3057999999999996</v>
      </c>
      <c r="F68" s="279">
        <f t="shared" si="0"/>
        <v>-4.2000000000008697E-3</v>
      </c>
    </row>
    <row r="69" spans="1:6" s="260" customFormat="1" ht="15.75" hidden="1" x14ac:dyDescent="0.25">
      <c r="A69" s="274"/>
      <c r="B69" s="278"/>
      <c r="C69" s="274" t="s">
        <v>346</v>
      </c>
      <c r="D69" s="274"/>
      <c r="E69" s="276">
        <v>1.0258</v>
      </c>
      <c r="F69" s="279">
        <f t="shared" ref="F69:F89" si="1">E69-D69</f>
        <v>1.0258</v>
      </c>
    </row>
    <row r="70" spans="1:6" s="260" customFormat="1" ht="15.75" hidden="1" x14ac:dyDescent="0.25">
      <c r="A70" s="274"/>
      <c r="B70" s="278"/>
      <c r="C70" s="274" t="s">
        <v>745</v>
      </c>
      <c r="D70" s="274"/>
      <c r="E70" s="276">
        <v>0.43</v>
      </c>
      <c r="F70" s="279">
        <f t="shared" si="1"/>
        <v>0.43</v>
      </c>
    </row>
    <row r="71" spans="1:6" s="260" customFormat="1" ht="15.75" hidden="1" x14ac:dyDescent="0.25">
      <c r="A71" s="274"/>
      <c r="B71" s="278"/>
      <c r="C71" s="274" t="s">
        <v>746</v>
      </c>
      <c r="D71" s="274"/>
      <c r="E71" s="276">
        <v>2.85</v>
      </c>
      <c r="F71" s="279">
        <f t="shared" si="1"/>
        <v>2.85</v>
      </c>
    </row>
    <row r="72" spans="1:6" s="260" customFormat="1" ht="15.75" x14ac:dyDescent="0.25">
      <c r="A72" s="274">
        <v>8</v>
      </c>
      <c r="B72" s="278" t="s">
        <v>709</v>
      </c>
      <c r="C72" s="318"/>
      <c r="D72" s="276">
        <f>'QHPK phê duyệt'!D66</f>
        <v>17.7666</v>
      </c>
      <c r="E72" s="276">
        <f>+E73+E79</f>
        <v>12.260899999999999</v>
      </c>
      <c r="F72" s="279">
        <f t="shared" si="1"/>
        <v>-5.5057000000000009</v>
      </c>
    </row>
    <row r="73" spans="1:6" s="260" customFormat="1" ht="15.75" x14ac:dyDescent="0.25">
      <c r="A73" s="272">
        <v>8.1</v>
      </c>
      <c r="B73" s="273" t="s">
        <v>95</v>
      </c>
      <c r="C73" s="269" t="s">
        <v>84</v>
      </c>
      <c r="D73" s="275">
        <f>'QHPK phê duyệt'!D67</f>
        <v>1.8165999999999998</v>
      </c>
      <c r="E73" s="275">
        <f>+SUM(E74:E78)</f>
        <v>1.9856999999999998</v>
      </c>
      <c r="F73" s="279">
        <f t="shared" si="1"/>
        <v>0.16910000000000003</v>
      </c>
    </row>
    <row r="74" spans="1:6" s="260" customFormat="1" ht="15.75" hidden="1" x14ac:dyDescent="0.25">
      <c r="A74" s="274"/>
      <c r="B74" s="278"/>
      <c r="C74" s="274" t="s">
        <v>222</v>
      </c>
      <c r="D74" s="274"/>
      <c r="E74" s="276">
        <v>0.56359999999999999</v>
      </c>
      <c r="F74" s="279">
        <f t="shared" si="1"/>
        <v>0.56359999999999999</v>
      </c>
    </row>
    <row r="75" spans="1:6" s="260" customFormat="1" ht="15.75" hidden="1" x14ac:dyDescent="0.25">
      <c r="A75" s="274"/>
      <c r="B75" s="278"/>
      <c r="C75" s="274" t="s">
        <v>220</v>
      </c>
      <c r="D75" s="274"/>
      <c r="E75" s="276">
        <v>0.60470000000000002</v>
      </c>
      <c r="F75" s="279">
        <f t="shared" si="1"/>
        <v>0.60470000000000002</v>
      </c>
    </row>
    <row r="76" spans="1:6" s="260" customFormat="1" ht="15.75" hidden="1" x14ac:dyDescent="0.25">
      <c r="A76" s="274"/>
      <c r="B76" s="278"/>
      <c r="C76" s="274" t="s">
        <v>218</v>
      </c>
      <c r="D76" s="274"/>
      <c r="E76" s="276">
        <v>0.18049999999999999</v>
      </c>
      <c r="F76" s="279">
        <f t="shared" si="1"/>
        <v>0.18049999999999999</v>
      </c>
    </row>
    <row r="77" spans="1:6" s="260" customFormat="1" ht="15.75" hidden="1" x14ac:dyDescent="0.25">
      <c r="A77" s="274"/>
      <c r="B77" s="278"/>
      <c r="C77" s="274" t="s">
        <v>216</v>
      </c>
      <c r="D77" s="274"/>
      <c r="E77" s="276">
        <v>0.35289999999999999</v>
      </c>
      <c r="F77" s="279">
        <f t="shared" si="1"/>
        <v>0.35289999999999999</v>
      </c>
    </row>
    <row r="78" spans="1:6" s="260" customFormat="1" ht="15.75" hidden="1" x14ac:dyDescent="0.25">
      <c r="A78" s="274"/>
      <c r="B78" s="278"/>
      <c r="C78" s="274" t="s">
        <v>744</v>
      </c>
      <c r="D78" s="274"/>
      <c r="E78" s="276">
        <v>0.28399999999999997</v>
      </c>
      <c r="F78" s="279">
        <f t="shared" si="1"/>
        <v>0.28399999999999997</v>
      </c>
    </row>
    <row r="79" spans="1:6" s="260" customFormat="1" ht="15.75" x14ac:dyDescent="0.25">
      <c r="A79" s="272">
        <v>8.1999999999999993</v>
      </c>
      <c r="B79" s="273" t="s">
        <v>53</v>
      </c>
      <c r="C79" s="269" t="s">
        <v>83</v>
      </c>
      <c r="D79" s="275">
        <f>'QHPK phê duyệt'!D73</f>
        <v>15.950000000000001</v>
      </c>
      <c r="E79" s="275">
        <f>+SUM(E80:E84)</f>
        <v>10.2752</v>
      </c>
      <c r="F79" s="279">
        <f t="shared" si="1"/>
        <v>-5.6748000000000012</v>
      </c>
    </row>
    <row r="80" spans="1:6" s="260" customFormat="1" ht="15.75" hidden="1" x14ac:dyDescent="0.25">
      <c r="A80" s="274"/>
      <c r="B80" s="278"/>
      <c r="C80" s="274" t="s">
        <v>316</v>
      </c>
      <c r="D80" s="274"/>
      <c r="E80" s="276">
        <v>1.139</v>
      </c>
      <c r="F80" s="265">
        <f t="shared" si="1"/>
        <v>1.139</v>
      </c>
    </row>
    <row r="81" spans="1:6" s="260" customFormat="1" ht="15.75" hidden="1" x14ac:dyDescent="0.25">
      <c r="A81" s="274"/>
      <c r="B81" s="278"/>
      <c r="C81" s="274" t="s">
        <v>314</v>
      </c>
      <c r="D81" s="274"/>
      <c r="E81" s="276">
        <v>6.2721999999999998</v>
      </c>
      <c r="F81" s="265">
        <f t="shared" si="1"/>
        <v>6.2721999999999998</v>
      </c>
    </row>
    <row r="82" spans="1:6" s="260" customFormat="1" ht="15.75" hidden="1" x14ac:dyDescent="0.25">
      <c r="A82" s="274"/>
      <c r="B82" s="278"/>
      <c r="C82" s="274" t="s">
        <v>312</v>
      </c>
      <c r="D82" s="274"/>
      <c r="E82" s="276">
        <v>1.1433</v>
      </c>
      <c r="F82" s="265">
        <f t="shared" si="1"/>
        <v>1.1433</v>
      </c>
    </row>
    <row r="83" spans="1:6" s="260" customFormat="1" ht="15.75" hidden="1" x14ac:dyDescent="0.25">
      <c r="A83" s="274"/>
      <c r="B83" s="278"/>
      <c r="C83" s="274" t="s">
        <v>310</v>
      </c>
      <c r="D83" s="274"/>
      <c r="E83" s="276">
        <v>1.0840000000000001</v>
      </c>
      <c r="F83" s="265">
        <f t="shared" si="1"/>
        <v>1.0840000000000001</v>
      </c>
    </row>
    <row r="84" spans="1:6" s="260" customFormat="1" ht="15.75" hidden="1" x14ac:dyDescent="0.25">
      <c r="A84" s="274"/>
      <c r="B84" s="278"/>
      <c r="C84" s="274" t="s">
        <v>308</v>
      </c>
      <c r="D84" s="274"/>
      <c r="E84" s="276">
        <v>0.63670000000000004</v>
      </c>
      <c r="F84" s="265">
        <f t="shared" si="1"/>
        <v>0.63670000000000004</v>
      </c>
    </row>
    <row r="85" spans="1:6" s="260" customFormat="1" ht="15.75" x14ac:dyDescent="0.25">
      <c r="A85" s="263" t="s">
        <v>608</v>
      </c>
      <c r="B85" s="264" t="s">
        <v>624</v>
      </c>
      <c r="C85" s="263"/>
      <c r="D85" s="268">
        <f>'QHPK phê duyệt'!D78</f>
        <v>2.93</v>
      </c>
      <c r="E85" s="265">
        <f>+E86</f>
        <v>4.0648999999999997</v>
      </c>
      <c r="F85" s="265">
        <f t="shared" si="1"/>
        <v>1.1348999999999996</v>
      </c>
    </row>
    <row r="86" spans="1:6" s="260" customFormat="1" ht="15.75" x14ac:dyDescent="0.25">
      <c r="A86" s="318">
        <v>1</v>
      </c>
      <c r="B86" s="266" t="s">
        <v>120</v>
      </c>
      <c r="C86" s="318" t="s">
        <v>3</v>
      </c>
      <c r="D86" s="276">
        <f>'QHPK phê duyệt'!D79</f>
        <v>2.93</v>
      </c>
      <c r="E86" s="276">
        <f>+E87+E88</f>
        <v>4.0648999999999997</v>
      </c>
      <c r="F86" s="279">
        <f t="shared" si="1"/>
        <v>1.1348999999999996</v>
      </c>
    </row>
    <row r="87" spans="1:6" s="260" customFormat="1" ht="15.75" hidden="1" x14ac:dyDescent="0.25">
      <c r="A87" s="274"/>
      <c r="B87" s="278"/>
      <c r="C87" s="274" t="s">
        <v>320</v>
      </c>
      <c r="D87" s="274"/>
      <c r="E87" s="276">
        <v>3.3353999999999999</v>
      </c>
      <c r="F87" s="279">
        <f t="shared" si="1"/>
        <v>3.3353999999999999</v>
      </c>
    </row>
    <row r="88" spans="1:6" s="260" customFormat="1" ht="15.75" hidden="1" x14ac:dyDescent="0.25">
      <c r="A88" s="274"/>
      <c r="B88" s="278"/>
      <c r="C88" s="274" t="s">
        <v>318</v>
      </c>
      <c r="D88" s="274"/>
      <c r="E88" s="276">
        <v>0.72950000000000004</v>
      </c>
      <c r="F88" s="279">
        <f t="shared" si="1"/>
        <v>0.72950000000000004</v>
      </c>
    </row>
    <row r="89" spans="1:6" s="260" customFormat="1" ht="15.75" x14ac:dyDescent="0.25">
      <c r="A89" s="263" t="s">
        <v>623</v>
      </c>
      <c r="B89" s="264" t="s">
        <v>605</v>
      </c>
      <c r="C89" s="263"/>
      <c r="D89" s="277">
        <f>'QHPK phê duyệt'!D82</f>
        <v>18.740891999999995</v>
      </c>
      <c r="E89" s="279">
        <f>+E4-E5-E48-E85</f>
        <v>27.311991999999996</v>
      </c>
      <c r="F89" s="279">
        <f t="shared" si="1"/>
        <v>8.5711000000000013</v>
      </c>
    </row>
    <row r="90" spans="1:6" s="260" customFormat="1" ht="15.75" x14ac:dyDescent="0.25">
      <c r="A90" s="285"/>
      <c r="B90" s="286"/>
      <c r="C90" s="285"/>
      <c r="D90" s="287"/>
      <c r="E90" s="288"/>
      <c r="F90" s="288"/>
    </row>
    <row r="91" spans="1:6" s="260" customFormat="1" ht="15.75" x14ac:dyDescent="0.25">
      <c r="A91" s="285"/>
      <c r="B91" s="286"/>
      <c r="C91" s="285"/>
      <c r="D91" s="287"/>
      <c r="E91" s="288"/>
      <c r="F91" s="288"/>
    </row>
    <row r="93" spans="1:6" ht="38.65" customHeight="1" x14ac:dyDescent="0.25">
      <c r="A93" s="424" t="s">
        <v>1222</v>
      </c>
      <c r="B93" s="413"/>
      <c r="C93" s="413"/>
      <c r="D93" s="413"/>
      <c r="E93" s="413"/>
      <c r="F93" s="413"/>
    </row>
    <row r="94" spans="1:6" ht="31.5" x14ac:dyDescent="0.25">
      <c r="A94" s="420" t="s">
        <v>86</v>
      </c>
      <c r="B94" s="420" t="s">
        <v>87</v>
      </c>
      <c r="C94" s="420" t="s">
        <v>10</v>
      </c>
      <c r="D94" s="321" t="s">
        <v>1213</v>
      </c>
      <c r="E94" s="262" t="s">
        <v>1214</v>
      </c>
      <c r="F94" s="422" t="s">
        <v>1215</v>
      </c>
    </row>
    <row r="95" spans="1:6" ht="15.75" x14ac:dyDescent="0.25">
      <c r="A95" s="421"/>
      <c r="B95" s="421"/>
      <c r="C95" s="421"/>
      <c r="D95" s="322" t="s">
        <v>1220</v>
      </c>
      <c r="E95" s="322" t="s">
        <v>1220</v>
      </c>
      <c r="F95" s="423"/>
    </row>
    <row r="96" spans="1:6" ht="15.75" x14ac:dyDescent="0.25">
      <c r="A96" s="320"/>
      <c r="B96" s="280" t="s">
        <v>108</v>
      </c>
      <c r="C96" s="320"/>
      <c r="D96" s="262">
        <v>723.28</v>
      </c>
      <c r="E96" s="262">
        <f>'TỔNG HỢP'!F3</f>
        <v>723.276295</v>
      </c>
      <c r="F96" s="262">
        <f>D96-E96</f>
        <v>3.7049999999680949E-3</v>
      </c>
    </row>
    <row r="97" spans="1:6" ht="15.75" x14ac:dyDescent="0.25">
      <c r="A97" s="320" t="s">
        <v>606</v>
      </c>
      <c r="B97" s="280" t="s">
        <v>627</v>
      </c>
      <c r="C97" s="320"/>
      <c r="D97" s="262">
        <f>'Tong hop QHPK đc phê duyệt'!F4</f>
        <v>368.04269999999991</v>
      </c>
      <c r="E97" s="262">
        <f>'TỔNG HỢP'!E4</f>
        <v>368.68453999999997</v>
      </c>
      <c r="F97" s="262">
        <f>E97-D97</f>
        <v>0.64184000000005881</v>
      </c>
    </row>
    <row r="98" spans="1:6" ht="15.75" x14ac:dyDescent="0.25">
      <c r="A98" s="274">
        <v>1</v>
      </c>
      <c r="B98" s="323" t="s">
        <v>593</v>
      </c>
      <c r="C98" s="274"/>
      <c r="D98" s="289">
        <f>'Tong hop QHPK đc phê duyệt'!F5</f>
        <v>332.19509999999991</v>
      </c>
      <c r="E98" s="289">
        <f>'TỔNG HỢP'!E5</f>
        <v>331.071056</v>
      </c>
      <c r="F98" s="289">
        <f t="shared" ref="F98:F133" si="2">E98-D98</f>
        <v>-1.1240439999999126</v>
      </c>
    </row>
    <row r="99" spans="1:6" ht="15.75" x14ac:dyDescent="0.25">
      <c r="A99" s="274" t="s">
        <v>31</v>
      </c>
      <c r="B99" s="323" t="s">
        <v>89</v>
      </c>
      <c r="C99" s="323"/>
      <c r="D99" s="276">
        <f>'Tong hop QHPK đc phê duyệt'!F6</f>
        <v>124.58250000000001</v>
      </c>
      <c r="E99" s="276">
        <f>D99</f>
        <v>124.58250000000001</v>
      </c>
      <c r="F99" s="289">
        <f t="shared" si="2"/>
        <v>0</v>
      </c>
    </row>
    <row r="100" spans="1:6" ht="15.75" x14ac:dyDescent="0.25">
      <c r="A100" s="272" t="s">
        <v>13</v>
      </c>
      <c r="B100" s="324" t="s">
        <v>706</v>
      </c>
      <c r="C100" s="274" t="s">
        <v>73</v>
      </c>
      <c r="D100" s="325">
        <f>'Tong hop QHPK đc phê duyệt'!F7</f>
        <v>115.60480000000001</v>
      </c>
      <c r="E100" s="289">
        <f>'TỔNG HỢP'!F7</f>
        <v>115.60480000000001</v>
      </c>
      <c r="F100" s="289">
        <f t="shared" si="2"/>
        <v>0</v>
      </c>
    </row>
    <row r="101" spans="1:6" ht="15.75" x14ac:dyDescent="0.25">
      <c r="A101" s="272" t="s">
        <v>42</v>
      </c>
      <c r="B101" s="324" t="s">
        <v>37</v>
      </c>
      <c r="C101" s="274" t="s">
        <v>22</v>
      </c>
      <c r="D101" s="325">
        <f>'Tong hop QHPK đc phê duyệt'!F8</f>
        <v>5.6960999999999995</v>
      </c>
      <c r="E101" s="289">
        <f>'TỔNG HỢP'!E8</f>
        <v>5.6962330000000003</v>
      </c>
      <c r="F101" s="289">
        <f t="shared" si="2"/>
        <v>1.330000000008269E-4</v>
      </c>
    </row>
    <row r="102" spans="1:6" ht="15.75" x14ac:dyDescent="0.25">
      <c r="A102" s="272" t="s">
        <v>734</v>
      </c>
      <c r="B102" s="324" t="s">
        <v>725</v>
      </c>
      <c r="C102" s="274" t="s">
        <v>78</v>
      </c>
      <c r="D102" s="325">
        <f>'Tong hop QHPK đc phê duyệt'!F9</f>
        <v>3.2816000000000001</v>
      </c>
      <c r="E102" s="289">
        <f>'TỔNG HỢP'!E9</f>
        <v>3.279725</v>
      </c>
      <c r="F102" s="289">
        <f t="shared" si="2"/>
        <v>-1.8750000000000711E-3</v>
      </c>
    </row>
    <row r="103" spans="1:6" ht="15.75" x14ac:dyDescent="0.25">
      <c r="A103" s="274" t="s">
        <v>24</v>
      </c>
      <c r="B103" s="323" t="s">
        <v>90</v>
      </c>
      <c r="C103" s="274" t="s">
        <v>110</v>
      </c>
      <c r="D103" s="325">
        <f>'Tong hop QHPK đc phê duyệt'!F10</f>
        <v>183.76319999999998</v>
      </c>
      <c r="E103" s="289">
        <f>'TỔNG HỢP'!E10</f>
        <v>182.31518600000001</v>
      </c>
      <c r="F103" s="289">
        <f t="shared" si="2"/>
        <v>-1.4480139999999722</v>
      </c>
    </row>
    <row r="104" spans="1:6" ht="15.75" x14ac:dyDescent="0.25">
      <c r="A104" s="274" t="s">
        <v>23</v>
      </c>
      <c r="B104" s="323" t="s">
        <v>629</v>
      </c>
      <c r="C104" s="274" t="s">
        <v>113</v>
      </c>
      <c r="D104" s="289">
        <f>'Tong hop QHPK đc phê duyệt'!F11</f>
        <v>13.166299999999998</v>
      </c>
      <c r="E104" s="289">
        <f>'TỔNG HỢP'!E11</f>
        <v>13.286304000000001</v>
      </c>
      <c r="F104" s="289">
        <f t="shared" si="2"/>
        <v>0.12000400000000333</v>
      </c>
    </row>
    <row r="105" spans="1:6" ht="15.75" x14ac:dyDescent="0.25">
      <c r="A105" s="274" t="s">
        <v>43</v>
      </c>
      <c r="B105" s="323" t="s">
        <v>628</v>
      </c>
      <c r="C105" s="274" t="s">
        <v>121</v>
      </c>
      <c r="D105" s="289">
        <f>'Tong hop QHPK đc phê duyệt'!F12</f>
        <v>8.6030999999999995</v>
      </c>
      <c r="E105" s="289">
        <f>'TỔNG HỢP'!F12</f>
        <v>8.6030999999999995</v>
      </c>
      <c r="F105" s="289">
        <f t="shared" si="2"/>
        <v>0</v>
      </c>
    </row>
    <row r="106" spans="1:6" ht="15.75" x14ac:dyDescent="0.25">
      <c r="A106" s="274" t="s">
        <v>735</v>
      </c>
      <c r="B106" s="323" t="s">
        <v>91</v>
      </c>
      <c r="C106" s="274" t="s">
        <v>111</v>
      </c>
      <c r="D106" s="289">
        <f>'Tong hop QHPK đc phê duyệt'!F13</f>
        <v>1.95</v>
      </c>
      <c r="E106" s="289">
        <f>'TỔNG HỢP'!F13</f>
        <v>1.95</v>
      </c>
      <c r="F106" s="289">
        <f t="shared" si="2"/>
        <v>0</v>
      </c>
    </row>
    <row r="107" spans="1:6" ht="15.75" x14ac:dyDescent="0.25">
      <c r="A107" s="274" t="s">
        <v>815</v>
      </c>
      <c r="B107" s="323" t="s">
        <v>47</v>
      </c>
      <c r="C107" s="274" t="s">
        <v>77</v>
      </c>
      <c r="D107" s="289">
        <f>'Tong hop QHPK đc phê duyệt'!F14</f>
        <v>0.13</v>
      </c>
      <c r="E107" s="289">
        <f>'TỔNG HỢP'!F14</f>
        <v>0.13</v>
      </c>
      <c r="F107" s="289">
        <f t="shared" si="2"/>
        <v>0</v>
      </c>
    </row>
    <row r="108" spans="1:6" ht="15.75" x14ac:dyDescent="0.25">
      <c r="A108" s="274">
        <v>2</v>
      </c>
      <c r="B108" s="323" t="s">
        <v>633</v>
      </c>
      <c r="C108" s="274" t="s">
        <v>74</v>
      </c>
      <c r="D108" s="289">
        <f>'Tong hop QHPK đc phê duyệt'!F15</f>
        <v>1.55</v>
      </c>
      <c r="E108" s="289">
        <f>'TỔNG HỢP'!F15</f>
        <v>1.55</v>
      </c>
      <c r="F108" s="289">
        <f t="shared" si="2"/>
        <v>0</v>
      </c>
    </row>
    <row r="109" spans="1:6" ht="15.75" x14ac:dyDescent="0.25">
      <c r="A109" s="274">
        <v>3</v>
      </c>
      <c r="B109" s="323" t="s">
        <v>632</v>
      </c>
      <c r="C109" s="274" t="s">
        <v>75</v>
      </c>
      <c r="D109" s="289">
        <f>'Tong hop QHPK đc phê duyệt'!F16</f>
        <v>30.184299999999993</v>
      </c>
      <c r="E109" s="289">
        <f>'TỔNG HỢP'!E16</f>
        <v>31.948487</v>
      </c>
      <c r="F109" s="289">
        <f t="shared" si="2"/>
        <v>1.7641870000000068</v>
      </c>
    </row>
    <row r="110" spans="1:6" ht="15.75" x14ac:dyDescent="0.25">
      <c r="A110" s="274">
        <v>4</v>
      </c>
      <c r="B110" s="323" t="s">
        <v>631</v>
      </c>
      <c r="C110" s="274" t="s">
        <v>7</v>
      </c>
      <c r="D110" s="289">
        <f>'Tong hop QHPK đc phê duyệt'!F17</f>
        <v>4.1132999999999997</v>
      </c>
      <c r="E110" s="289">
        <f>'TỔNG HỢP'!F17</f>
        <v>4.1132999999999997</v>
      </c>
      <c r="F110" s="289">
        <f t="shared" si="2"/>
        <v>0</v>
      </c>
    </row>
    <row r="111" spans="1:6" ht="15.75" x14ac:dyDescent="0.25">
      <c r="A111" s="320" t="s">
        <v>607</v>
      </c>
      <c r="B111" s="280" t="s">
        <v>634</v>
      </c>
      <c r="C111" s="320"/>
      <c r="D111" s="262">
        <f>'Tong hop QHPK đc phê duyệt'!F18</f>
        <v>233.89170000000001</v>
      </c>
      <c r="E111" s="262">
        <f>'TỔNG HỢP'!E18</f>
        <v>234.26342200000002</v>
      </c>
      <c r="F111" s="262">
        <f t="shared" si="2"/>
        <v>0.37172200000000544</v>
      </c>
    </row>
    <row r="112" spans="1:6" ht="15.75" x14ac:dyDescent="0.25">
      <c r="A112" s="274">
        <v>1</v>
      </c>
      <c r="B112" s="323" t="s">
        <v>47</v>
      </c>
      <c r="C112" s="274" t="s">
        <v>77</v>
      </c>
      <c r="D112" s="289">
        <f>'Tong hop QHPK đc phê duyệt'!F19</f>
        <v>36.96</v>
      </c>
      <c r="E112" s="289">
        <f>'TỔNG HỢP'!E19</f>
        <v>37.268394000000001</v>
      </c>
      <c r="F112" s="289">
        <f t="shared" si="2"/>
        <v>0.30839399999999983</v>
      </c>
    </row>
    <row r="113" spans="1:6" ht="15.75" x14ac:dyDescent="0.25">
      <c r="A113" s="274">
        <v>2</v>
      </c>
      <c r="B113" s="323" t="s">
        <v>92</v>
      </c>
      <c r="C113" s="274" t="s">
        <v>112</v>
      </c>
      <c r="D113" s="289">
        <f>'Tong hop QHPK đc phê duyệt'!F20</f>
        <v>4.3100000000000005</v>
      </c>
      <c r="E113" s="289">
        <f>'TỔNG HỢP'!E20</f>
        <v>5.1517629999999999</v>
      </c>
      <c r="F113" s="289">
        <f t="shared" si="2"/>
        <v>0.84176299999999937</v>
      </c>
    </row>
    <row r="114" spans="1:6" ht="15.75" x14ac:dyDescent="0.25">
      <c r="A114" s="274">
        <v>3</v>
      </c>
      <c r="B114" s="323" t="s">
        <v>96</v>
      </c>
      <c r="C114" s="274" t="s">
        <v>6</v>
      </c>
      <c r="D114" s="289">
        <f>'Tong hop QHPK đc phê duyệt'!F21</f>
        <v>47.899900000000002</v>
      </c>
      <c r="E114" s="289">
        <f>'TỔNG HỢP'!E21</f>
        <v>47.900385999999997</v>
      </c>
      <c r="F114" s="289">
        <f t="shared" si="2"/>
        <v>4.8599999999510146E-4</v>
      </c>
    </row>
    <row r="115" spans="1:6" ht="15.75" x14ac:dyDescent="0.25">
      <c r="A115" s="274">
        <v>4</v>
      </c>
      <c r="B115" s="323" t="s">
        <v>97</v>
      </c>
      <c r="C115" s="274" t="s">
        <v>635</v>
      </c>
      <c r="D115" s="289">
        <f>'Tong hop QHPK đc phê duyệt'!F22</f>
        <v>0.32</v>
      </c>
      <c r="E115" s="289">
        <f>'TỔNG HỢP'!F22</f>
        <v>0.32</v>
      </c>
      <c r="F115" s="289">
        <f t="shared" si="2"/>
        <v>0</v>
      </c>
    </row>
    <row r="116" spans="1:6" ht="15.75" x14ac:dyDescent="0.25">
      <c r="A116" s="274">
        <v>5</v>
      </c>
      <c r="B116" s="323" t="s">
        <v>98</v>
      </c>
      <c r="C116" s="274" t="s">
        <v>7</v>
      </c>
      <c r="D116" s="289">
        <f>'Tong hop QHPK đc phê duyệt'!F23</f>
        <v>4.3294000000000006</v>
      </c>
      <c r="E116" s="289">
        <f>'TỔNG HỢP'!F23</f>
        <v>4.3294000000000006</v>
      </c>
      <c r="F116" s="289">
        <f t="shared" si="2"/>
        <v>0</v>
      </c>
    </row>
    <row r="117" spans="1:6" ht="15.75" x14ac:dyDescent="0.25">
      <c r="A117" s="274">
        <v>6</v>
      </c>
      <c r="B117" s="323" t="s">
        <v>99</v>
      </c>
      <c r="C117" s="274" t="s">
        <v>115</v>
      </c>
      <c r="D117" s="289">
        <f>'Tong hop QHPK đc phê duyệt'!F24</f>
        <v>21.691200000000002</v>
      </c>
      <c r="E117" s="289">
        <f>'TỔNG HỢP'!E24</f>
        <v>26.605690999999997</v>
      </c>
      <c r="F117" s="289">
        <f t="shared" si="2"/>
        <v>4.9144909999999946</v>
      </c>
    </row>
    <row r="118" spans="1:6" ht="15.75" x14ac:dyDescent="0.25">
      <c r="A118" s="274">
        <v>7</v>
      </c>
      <c r="B118" s="323" t="s">
        <v>100</v>
      </c>
      <c r="C118" s="274" t="s">
        <v>8</v>
      </c>
      <c r="D118" s="289">
        <f>'Tong hop QHPK đc phê duyệt'!F25</f>
        <v>19.440000000000001</v>
      </c>
      <c r="E118" s="289">
        <f>'TỔNG HỢP'!E25</f>
        <v>14.472130999999999</v>
      </c>
      <c r="F118" s="289">
        <f t="shared" si="2"/>
        <v>-4.9678690000000021</v>
      </c>
    </row>
    <row r="119" spans="1:6" ht="15.75" x14ac:dyDescent="0.25">
      <c r="A119" s="274">
        <v>8</v>
      </c>
      <c r="B119" s="323" t="s">
        <v>101</v>
      </c>
      <c r="C119" s="274" t="s">
        <v>4</v>
      </c>
      <c r="D119" s="289">
        <f>'Tong hop QHPK đc phê duyệt'!F26</f>
        <v>0.94</v>
      </c>
      <c r="E119" s="289">
        <f>'TỔNG HỢP'!F26</f>
        <v>0.94</v>
      </c>
      <c r="F119" s="289">
        <f t="shared" si="2"/>
        <v>0</v>
      </c>
    </row>
    <row r="120" spans="1:6" ht="15.75" x14ac:dyDescent="0.25">
      <c r="A120" s="274">
        <v>9</v>
      </c>
      <c r="B120" s="323" t="s">
        <v>102</v>
      </c>
      <c r="C120" s="274" t="s">
        <v>116</v>
      </c>
      <c r="D120" s="289">
        <f>'Tong hop QHPK đc phê duyệt'!F27</f>
        <v>5.15</v>
      </c>
      <c r="E120" s="289">
        <f>'TỔNG HỢP'!F27</f>
        <v>5.15</v>
      </c>
      <c r="F120" s="289">
        <f t="shared" si="2"/>
        <v>0</v>
      </c>
    </row>
    <row r="121" spans="1:6" ht="15.75" x14ac:dyDescent="0.25">
      <c r="A121" s="274">
        <v>10</v>
      </c>
      <c r="B121" s="323" t="s">
        <v>103</v>
      </c>
      <c r="C121" s="274" t="s">
        <v>80</v>
      </c>
      <c r="D121" s="289">
        <f>'Tong hop QHPK đc phê duyệt'!F28</f>
        <v>1.28</v>
      </c>
      <c r="E121" s="289">
        <f>'TỔNG HỢP'!F28</f>
        <v>1.28</v>
      </c>
      <c r="F121" s="289">
        <f t="shared" si="2"/>
        <v>0</v>
      </c>
    </row>
    <row r="122" spans="1:6" ht="15.75" x14ac:dyDescent="0.25">
      <c r="A122" s="274">
        <v>11</v>
      </c>
      <c r="B122" s="323" t="s">
        <v>104</v>
      </c>
      <c r="C122" s="274" t="s">
        <v>117</v>
      </c>
      <c r="D122" s="289">
        <f>'Tong hop QHPK đc phê duyệt'!F29</f>
        <v>4.1017000000000001</v>
      </c>
      <c r="E122" s="289">
        <f>'TỔNG HỢP'!F29</f>
        <v>4.1017000000000001</v>
      </c>
      <c r="F122" s="289">
        <f t="shared" si="2"/>
        <v>0</v>
      </c>
    </row>
    <row r="123" spans="1:6" ht="15.75" x14ac:dyDescent="0.25">
      <c r="A123" s="274">
        <v>12</v>
      </c>
      <c r="B123" s="323" t="s">
        <v>837</v>
      </c>
      <c r="C123" s="274" t="s">
        <v>848</v>
      </c>
      <c r="D123" s="289">
        <f>'Tong hop QHPK đc phê duyệt'!F30</f>
        <v>7.65</v>
      </c>
      <c r="E123" s="289">
        <f>'TỔNG HỢP'!F30</f>
        <v>7.65</v>
      </c>
      <c r="F123" s="289">
        <f t="shared" si="2"/>
        <v>0</v>
      </c>
    </row>
    <row r="124" spans="1:6" ht="15.75" x14ac:dyDescent="0.25">
      <c r="A124" s="274">
        <v>13</v>
      </c>
      <c r="B124" s="323" t="s">
        <v>105</v>
      </c>
      <c r="C124" s="274" t="s">
        <v>85</v>
      </c>
      <c r="D124" s="289">
        <f>'Tong hop QHPK đc phê duyệt'!F31</f>
        <v>6.8500000000000005</v>
      </c>
      <c r="E124" s="289">
        <f>'TỔNG HỢP'!E31</f>
        <v>6.8332270000000008</v>
      </c>
      <c r="F124" s="289">
        <f t="shared" si="2"/>
        <v>-1.6772999999999705E-2</v>
      </c>
    </row>
    <row r="125" spans="1:6" ht="15.75" x14ac:dyDescent="0.25">
      <c r="A125" s="274">
        <v>14</v>
      </c>
      <c r="B125" s="323" t="s">
        <v>709</v>
      </c>
      <c r="C125" s="274"/>
      <c r="D125" s="289">
        <f>'Tong hop QHPK đc phê duyệt'!F32</f>
        <v>72.969500000000011</v>
      </c>
      <c r="E125" s="289">
        <f>'TỔNG HỢP'!E32</f>
        <v>72.266677999999999</v>
      </c>
      <c r="F125" s="289">
        <f t="shared" si="2"/>
        <v>-0.70282200000001183</v>
      </c>
    </row>
    <row r="126" spans="1:6" ht="15.75" x14ac:dyDescent="0.25">
      <c r="A126" s="326" t="s">
        <v>849</v>
      </c>
      <c r="B126" s="324" t="s">
        <v>94</v>
      </c>
      <c r="C126" s="274" t="s">
        <v>114</v>
      </c>
      <c r="D126" s="325">
        <f>'Tong hop QHPK đc phê duyệt'!F33</f>
        <v>21.92</v>
      </c>
      <c r="E126" s="289">
        <f>D126</f>
        <v>21.92</v>
      </c>
      <c r="F126" s="289">
        <f t="shared" si="2"/>
        <v>0</v>
      </c>
    </row>
    <row r="127" spans="1:6" ht="15.75" x14ac:dyDescent="0.25">
      <c r="A127" s="272" t="s">
        <v>850</v>
      </c>
      <c r="B127" s="324" t="s">
        <v>95</v>
      </c>
      <c r="C127" s="274" t="s">
        <v>84</v>
      </c>
      <c r="D127" s="325">
        <f>'Tong hop QHPK đc phê duyệt'!F34</f>
        <v>12.499499999999999</v>
      </c>
      <c r="E127" s="289">
        <f>'TỔNG HỢP'!E34</f>
        <v>14.134487</v>
      </c>
      <c r="F127" s="289">
        <f t="shared" si="2"/>
        <v>1.6349870000000006</v>
      </c>
    </row>
    <row r="128" spans="1:6" ht="15.75" x14ac:dyDescent="0.25">
      <c r="A128" s="272" t="s">
        <v>851</v>
      </c>
      <c r="B128" s="324" t="s">
        <v>53</v>
      </c>
      <c r="C128" s="274" t="s">
        <v>83</v>
      </c>
      <c r="D128" s="325">
        <f>'Tong hop QHPK đc phê duyệt'!F35</f>
        <v>38.550000000000004</v>
      </c>
      <c r="E128" s="289">
        <f>'TỔNG HỢP'!E35</f>
        <v>36.212190999999997</v>
      </c>
      <c r="F128" s="289">
        <f t="shared" si="2"/>
        <v>-2.3378090000000071</v>
      </c>
    </row>
    <row r="129" spans="1:6" ht="15.75" x14ac:dyDescent="0.25">
      <c r="A129" s="320" t="s">
        <v>608</v>
      </c>
      <c r="B129" s="280" t="s">
        <v>624</v>
      </c>
      <c r="C129" s="320"/>
      <c r="D129" s="262">
        <f>'Tong hop QHPK đc phê duyệt'!F36</f>
        <v>8</v>
      </c>
      <c r="E129" s="262">
        <f>'TỔNG HỢP'!E36</f>
        <v>9.7529719999999998</v>
      </c>
      <c r="F129" s="262">
        <f t="shared" si="2"/>
        <v>1.7529719999999998</v>
      </c>
    </row>
    <row r="130" spans="1:6" ht="15.75" x14ac:dyDescent="0.25">
      <c r="A130" s="274">
        <v>1</v>
      </c>
      <c r="B130" s="323" t="s">
        <v>120</v>
      </c>
      <c r="C130" s="274" t="s">
        <v>3</v>
      </c>
      <c r="D130" s="289">
        <f>'Tong hop QHPK đc phê duyệt'!F37</f>
        <v>8</v>
      </c>
      <c r="E130" s="289">
        <f>'TỔNG HỢP'!E37</f>
        <v>9.7529719999999998</v>
      </c>
      <c r="F130" s="289">
        <f t="shared" si="2"/>
        <v>1.7529719999999998</v>
      </c>
    </row>
    <row r="131" spans="1:6" ht="15.75" x14ac:dyDescent="0.25">
      <c r="A131" s="272" t="s">
        <v>31</v>
      </c>
      <c r="B131" s="324" t="s">
        <v>106</v>
      </c>
      <c r="C131" s="274"/>
      <c r="D131" s="289">
        <f>'Tong hop QHPK đc phê duyệt'!F38</f>
        <v>2.58</v>
      </c>
      <c r="E131" s="289">
        <f>'TỔNG HỢP'!E38</f>
        <v>7.2003940000000002</v>
      </c>
      <c r="F131" s="289">
        <f t="shared" si="2"/>
        <v>4.6203940000000001</v>
      </c>
    </row>
    <row r="132" spans="1:6" ht="15.75" x14ac:dyDescent="0.25">
      <c r="A132" s="272" t="s">
        <v>24</v>
      </c>
      <c r="B132" s="324" t="s">
        <v>107</v>
      </c>
      <c r="C132" s="274"/>
      <c r="D132" s="289">
        <f>'Tong hop QHPK đc phê duyệt'!F39</f>
        <v>5.42</v>
      </c>
      <c r="E132" s="289">
        <f>'TỔNG HỢP'!E39</f>
        <v>2.552578</v>
      </c>
      <c r="F132" s="289">
        <f t="shared" si="2"/>
        <v>-2.8674219999999999</v>
      </c>
    </row>
    <row r="133" spans="1:6" ht="15.75" x14ac:dyDescent="0.25">
      <c r="A133" s="320" t="s">
        <v>623</v>
      </c>
      <c r="B133" s="280" t="s">
        <v>605</v>
      </c>
      <c r="C133" s="320"/>
      <c r="D133" s="262">
        <v>113.34404600000002</v>
      </c>
      <c r="E133" s="262">
        <f>'TỔNG HỢP'!E40</f>
        <v>110.57536100000002</v>
      </c>
      <c r="F133" s="262">
        <f t="shared" si="2"/>
        <v>-2.7686850000000049</v>
      </c>
    </row>
    <row r="134" spans="1:6" ht="15.75" x14ac:dyDescent="0.25">
      <c r="A134" s="261"/>
      <c r="B134" s="280"/>
      <c r="C134" s="261"/>
      <c r="D134" s="282"/>
      <c r="E134" s="281"/>
      <c r="F134" s="283"/>
    </row>
  </sheetData>
  <mergeCells count="10">
    <mergeCell ref="A1:F1"/>
    <mergeCell ref="F2:F3"/>
    <mergeCell ref="C2:C3"/>
    <mergeCell ref="B2:B3"/>
    <mergeCell ref="A2:A3"/>
    <mergeCell ref="A93:F93"/>
    <mergeCell ref="A94:A95"/>
    <mergeCell ref="B94:B95"/>
    <mergeCell ref="C94:C95"/>
    <mergeCell ref="F94:F95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7"/>
  <sheetViews>
    <sheetView topLeftCell="A37" workbookViewId="0">
      <selection activeCell="C68" sqref="C68"/>
    </sheetView>
  </sheetViews>
  <sheetFormatPr defaultRowHeight="15" x14ac:dyDescent="0.25"/>
  <cols>
    <col min="2" max="2" width="40.85546875" bestFit="1" customWidth="1"/>
    <col min="3" max="3" width="12.140625" bestFit="1" customWidth="1"/>
  </cols>
  <sheetData>
    <row r="1" spans="1:11" ht="15.75" x14ac:dyDescent="0.25">
      <c r="A1" s="425" t="s">
        <v>124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94.5" x14ac:dyDescent="0.25">
      <c r="A2" s="227" t="s">
        <v>86</v>
      </c>
      <c r="B2" s="227" t="s">
        <v>87</v>
      </c>
      <c r="C2" s="227" t="s">
        <v>10</v>
      </c>
      <c r="D2" s="228" t="s">
        <v>1207</v>
      </c>
      <c r="E2" s="228" t="s">
        <v>88</v>
      </c>
      <c r="F2" s="228" t="s">
        <v>125</v>
      </c>
      <c r="G2" s="228" t="s">
        <v>126</v>
      </c>
      <c r="H2" s="228" t="s">
        <v>127</v>
      </c>
      <c r="I2" s="228" t="s">
        <v>128</v>
      </c>
      <c r="J2" s="228" t="s">
        <v>657</v>
      </c>
      <c r="K2" s="229" t="s">
        <v>122</v>
      </c>
    </row>
    <row r="3" spans="1:11" ht="15.75" x14ac:dyDescent="0.25">
      <c r="A3" s="230"/>
      <c r="B3" s="231" t="s">
        <v>108</v>
      </c>
      <c r="C3" s="230"/>
      <c r="D3" s="232">
        <f>+'[1]TỔNG HỢP'!F3</f>
        <v>723.276295</v>
      </c>
      <c r="E3" s="232">
        <f>+E4+E83+E186+E330</f>
        <v>100.00108699815746</v>
      </c>
      <c r="F3" s="232">
        <f>+G3*100/D3</f>
        <v>37.13543660379468</v>
      </c>
      <c r="G3" s="232">
        <f>+G4+G83+G186+G330</f>
        <v>268.59181000000001</v>
      </c>
      <c r="H3" s="232"/>
      <c r="I3" s="232"/>
      <c r="J3" s="232"/>
      <c r="K3" s="229">
        <f>ROUND(+K4+K83+K186+K330,-1)</f>
        <v>13620</v>
      </c>
    </row>
    <row r="4" spans="1:11" ht="15.75" x14ac:dyDescent="0.25">
      <c r="A4" s="230" t="s">
        <v>134</v>
      </c>
      <c r="B4" s="231" t="s">
        <v>123</v>
      </c>
      <c r="C4" s="230"/>
      <c r="D4" s="232">
        <f>1589335.92/10000</f>
        <v>158.933592</v>
      </c>
      <c r="E4" s="232">
        <f>+D4/$D$3*100</f>
        <v>21.974118756373731</v>
      </c>
      <c r="F4" s="232">
        <f>+G4*100/D4</f>
        <v>28.322426639674767</v>
      </c>
      <c r="G4" s="232">
        <f>+G5+G47</f>
        <v>45.013850000000005</v>
      </c>
      <c r="H4" s="232"/>
      <c r="I4" s="232"/>
      <c r="J4" s="232"/>
      <c r="K4" s="229">
        <f>+K6</f>
        <v>1566</v>
      </c>
    </row>
    <row r="5" spans="1:11" ht="15.75" x14ac:dyDescent="0.25">
      <c r="A5" s="233" t="s">
        <v>606</v>
      </c>
      <c r="B5" s="234" t="s">
        <v>594</v>
      </c>
      <c r="C5" s="233"/>
      <c r="D5" s="235">
        <f>D6+D41</f>
        <v>47.347599999999993</v>
      </c>
      <c r="E5" s="235">
        <f>+D5/$D$3*100</f>
        <v>6.5462673569303131</v>
      </c>
      <c r="F5" s="235">
        <f>+G5*100/D5</f>
        <v>37.421389890934293</v>
      </c>
      <c r="G5" s="235">
        <f>+G6+G41</f>
        <v>17.718130000000002</v>
      </c>
      <c r="H5" s="235"/>
      <c r="I5" s="235"/>
      <c r="J5" s="235"/>
      <c r="K5" s="236"/>
    </row>
    <row r="6" spans="1:11" ht="15.75" x14ac:dyDescent="0.25">
      <c r="A6" s="237">
        <v>1</v>
      </c>
      <c r="B6" s="238" t="s">
        <v>593</v>
      </c>
      <c r="C6" s="237"/>
      <c r="D6" s="239">
        <f>+D7+D14+D35+D36+D38</f>
        <v>28.533299999999997</v>
      </c>
      <c r="E6" s="240">
        <f t="shared" ref="E6:E76" si="0">+D6/$D$3*100</f>
        <v>3.9450069354201629</v>
      </c>
      <c r="F6" s="239">
        <f>+G6*100/D6</f>
        <v>58.799420326425626</v>
      </c>
      <c r="G6" s="239">
        <f>+G7+G14+G35+G36+G38</f>
        <v>16.777415000000001</v>
      </c>
      <c r="H6" s="239"/>
      <c r="I6" s="239"/>
      <c r="J6" s="239"/>
      <c r="K6" s="241">
        <f>+K7+K14</f>
        <v>1566</v>
      </c>
    </row>
    <row r="7" spans="1:11" ht="15.75" x14ac:dyDescent="0.25">
      <c r="A7" s="52">
        <v>1.1000000000000001</v>
      </c>
      <c r="B7" s="51" t="s">
        <v>89</v>
      </c>
      <c r="C7" s="52"/>
      <c r="D7" s="53">
        <f>+D8</f>
        <v>5.9849999999999994</v>
      </c>
      <c r="E7" s="135">
        <f t="shared" si="0"/>
        <v>0.82748460600385076</v>
      </c>
      <c r="F7" s="53">
        <v>60</v>
      </c>
      <c r="G7" s="53">
        <f t="shared" ref="G7:G13" si="1">+D7*F7/100</f>
        <v>3.5909999999999997</v>
      </c>
      <c r="H7" s="53">
        <f>+G7*J7</f>
        <v>25.136999999999997</v>
      </c>
      <c r="I7" s="53">
        <f>+H7/D7</f>
        <v>4.2</v>
      </c>
      <c r="J7" s="53">
        <v>7</v>
      </c>
      <c r="K7" s="65">
        <f>+N8+N11</f>
        <v>0</v>
      </c>
    </row>
    <row r="8" spans="1:11" ht="15.75" x14ac:dyDescent="0.25">
      <c r="A8" s="151" t="s">
        <v>707</v>
      </c>
      <c r="B8" s="212" t="s">
        <v>36</v>
      </c>
      <c r="C8" s="151"/>
      <c r="D8" s="214">
        <f>+SUM(D9:D13)</f>
        <v>5.9849999999999994</v>
      </c>
      <c r="E8" s="213">
        <f t="shared" si="0"/>
        <v>0.82748460600385076</v>
      </c>
      <c r="F8" s="214">
        <v>60</v>
      </c>
      <c r="G8" s="214">
        <f t="shared" si="1"/>
        <v>3.5909999999999997</v>
      </c>
      <c r="H8" s="214">
        <f>+G8*J8</f>
        <v>25.136999999999997</v>
      </c>
      <c r="I8" s="214">
        <f>+H8/D8</f>
        <v>4.2</v>
      </c>
      <c r="J8" s="214">
        <v>7</v>
      </c>
      <c r="K8" s="216"/>
    </row>
    <row r="9" spans="1:11" ht="15.75" x14ac:dyDescent="0.25">
      <c r="A9" s="92"/>
      <c r="B9" s="55"/>
      <c r="C9" s="92" t="s">
        <v>468</v>
      </c>
      <c r="D9" s="50">
        <v>1.53</v>
      </c>
      <c r="E9" s="134">
        <f t="shared" si="0"/>
        <v>0.21153741807617238</v>
      </c>
      <c r="F9" s="50">
        <v>60</v>
      </c>
      <c r="G9" s="50">
        <f t="shared" si="1"/>
        <v>0.91799999999999993</v>
      </c>
      <c r="H9" s="50">
        <f>+G9*J9</f>
        <v>6.4259999999999993</v>
      </c>
      <c r="I9" s="50">
        <f>+H9/D9</f>
        <v>4.1999999999999993</v>
      </c>
      <c r="J9" s="50">
        <v>7</v>
      </c>
      <c r="K9" s="93"/>
    </row>
    <row r="10" spans="1:11" ht="15.75" x14ac:dyDescent="0.25">
      <c r="A10" s="92"/>
      <c r="B10" s="55"/>
      <c r="C10" s="92" t="s">
        <v>466</v>
      </c>
      <c r="D10" s="50">
        <v>1.3108</v>
      </c>
      <c r="E10" s="134">
        <f t="shared" si="0"/>
        <v>0.18123088079362534</v>
      </c>
      <c r="F10" s="50">
        <v>60</v>
      </c>
      <c r="G10" s="50">
        <f t="shared" si="1"/>
        <v>0.78647999999999996</v>
      </c>
      <c r="H10" s="50">
        <f t="shared" ref="H10:H13" si="2">+G10*J10</f>
        <v>5.5053599999999996</v>
      </c>
      <c r="I10" s="50">
        <f t="shared" ref="I10:I65" si="3">+H10/D10</f>
        <v>4.2</v>
      </c>
      <c r="J10" s="50">
        <v>7</v>
      </c>
      <c r="K10" s="93"/>
    </row>
    <row r="11" spans="1:11" ht="15.75" x14ac:dyDescent="0.25">
      <c r="A11" s="92"/>
      <c r="B11" s="55"/>
      <c r="C11" s="92" t="s">
        <v>464</v>
      </c>
      <c r="D11" s="50">
        <v>1.1560999999999999</v>
      </c>
      <c r="E11" s="134">
        <f t="shared" si="0"/>
        <v>0.15984209741036789</v>
      </c>
      <c r="F11" s="50">
        <v>60</v>
      </c>
      <c r="G11" s="50">
        <f t="shared" si="1"/>
        <v>0.69365999999999994</v>
      </c>
      <c r="H11" s="50">
        <f t="shared" si="2"/>
        <v>4.85562</v>
      </c>
      <c r="I11" s="50">
        <f t="shared" si="3"/>
        <v>4.2</v>
      </c>
      <c r="J11" s="50">
        <v>7</v>
      </c>
      <c r="K11" s="93"/>
    </row>
    <row r="12" spans="1:11" ht="15.75" x14ac:dyDescent="0.25">
      <c r="A12" s="92"/>
      <c r="B12" s="55"/>
      <c r="C12" s="92" t="s">
        <v>462</v>
      </c>
      <c r="D12" s="50">
        <v>0.58720000000000006</v>
      </c>
      <c r="E12" s="134">
        <f t="shared" si="0"/>
        <v>8.1186125421129698E-2</v>
      </c>
      <c r="F12" s="50">
        <v>60</v>
      </c>
      <c r="G12" s="50">
        <f t="shared" si="1"/>
        <v>0.35232000000000008</v>
      </c>
      <c r="H12" s="50">
        <f t="shared" si="2"/>
        <v>2.4662400000000004</v>
      </c>
      <c r="I12" s="50">
        <f t="shared" si="3"/>
        <v>4.2</v>
      </c>
      <c r="J12" s="50">
        <v>7</v>
      </c>
      <c r="K12" s="93"/>
    </row>
    <row r="13" spans="1:11" ht="15.75" x14ac:dyDescent="0.25">
      <c r="A13" s="92"/>
      <c r="B13" s="55"/>
      <c r="C13" s="92" t="s">
        <v>460</v>
      </c>
      <c r="D13" s="50">
        <v>1.4009</v>
      </c>
      <c r="E13" s="134">
        <f t="shared" si="0"/>
        <v>0.19368808430255549</v>
      </c>
      <c r="F13" s="50">
        <v>60</v>
      </c>
      <c r="G13" s="50">
        <f t="shared" si="1"/>
        <v>0.84054000000000006</v>
      </c>
      <c r="H13" s="50">
        <f t="shared" si="2"/>
        <v>5.8837800000000007</v>
      </c>
      <c r="I13" s="50">
        <f t="shared" si="3"/>
        <v>4.2</v>
      </c>
      <c r="J13" s="50">
        <v>7</v>
      </c>
      <c r="K13" s="93"/>
    </row>
    <row r="14" spans="1:11" ht="15.75" x14ac:dyDescent="0.25">
      <c r="A14" s="52">
        <v>1.2</v>
      </c>
      <c r="B14" s="51" t="s">
        <v>90</v>
      </c>
      <c r="C14" s="52"/>
      <c r="D14" s="53">
        <f>+SUM(D15:D34)</f>
        <v>21.339999999999996</v>
      </c>
      <c r="E14" s="135">
        <f t="shared" si="0"/>
        <v>2.9504630730362864</v>
      </c>
      <c r="F14" s="53">
        <v>60</v>
      </c>
      <c r="G14" s="53">
        <f>+D14*F14/100</f>
        <v>12.803999999999998</v>
      </c>
      <c r="H14" s="53">
        <f>+G14*J14</f>
        <v>89.627999999999986</v>
      </c>
      <c r="I14" s="53">
        <f t="shared" si="3"/>
        <v>4.2</v>
      </c>
      <c r="J14" s="53">
        <v>7</v>
      </c>
      <c r="K14" s="65">
        <v>1566</v>
      </c>
    </row>
    <row r="15" spans="1:11" ht="15.75" x14ac:dyDescent="0.25">
      <c r="A15" s="52"/>
      <c r="B15" s="51"/>
      <c r="C15" s="92" t="s">
        <v>584</v>
      </c>
      <c r="D15" s="50">
        <v>0.1</v>
      </c>
      <c r="E15" s="134">
        <f t="shared" si="0"/>
        <v>1.3825975037658327E-2</v>
      </c>
      <c r="F15" s="50">
        <v>60</v>
      </c>
      <c r="G15" s="50">
        <f>+D15*F15/100</f>
        <v>0.06</v>
      </c>
      <c r="H15" s="50">
        <f>+G15*J15</f>
        <v>0.42</v>
      </c>
      <c r="I15" s="50">
        <f t="shared" si="3"/>
        <v>4.1999999999999993</v>
      </c>
      <c r="J15" s="50">
        <v>7</v>
      </c>
      <c r="K15" s="65"/>
    </row>
    <row r="16" spans="1:11" ht="15.75" x14ac:dyDescent="0.25">
      <c r="A16" s="52"/>
      <c r="B16" s="51"/>
      <c r="C16" s="92" t="s">
        <v>580</v>
      </c>
      <c r="D16" s="50">
        <v>0.17</v>
      </c>
      <c r="E16" s="134">
        <f t="shared" si="0"/>
        <v>2.3504157564019156E-2</v>
      </c>
      <c r="F16" s="50">
        <v>60</v>
      </c>
      <c r="G16" s="50">
        <f t="shared" ref="G16:G18" si="4">+D16*F16/100</f>
        <v>0.10200000000000001</v>
      </c>
      <c r="H16" s="50">
        <f t="shared" ref="H16:H17" si="5">+G16*J16</f>
        <v>0.71400000000000008</v>
      </c>
      <c r="I16" s="50">
        <f t="shared" si="3"/>
        <v>4.2</v>
      </c>
      <c r="J16" s="50">
        <v>7</v>
      </c>
      <c r="K16" s="65"/>
    </row>
    <row r="17" spans="1:11" ht="15.75" x14ac:dyDescent="0.25">
      <c r="A17" s="52"/>
      <c r="B17" s="51"/>
      <c r="C17" s="92" t="s">
        <v>582</v>
      </c>
      <c r="D17" s="50">
        <v>0.06</v>
      </c>
      <c r="E17" s="134">
        <f t="shared" si="0"/>
        <v>8.2955850225949947E-3</v>
      </c>
      <c r="F17" s="50">
        <v>60</v>
      </c>
      <c r="G17" s="50">
        <f t="shared" si="4"/>
        <v>3.5999999999999997E-2</v>
      </c>
      <c r="H17" s="50">
        <f t="shared" si="5"/>
        <v>0.252</v>
      </c>
      <c r="I17" s="50">
        <f t="shared" si="3"/>
        <v>4.2</v>
      </c>
      <c r="J17" s="50">
        <v>7</v>
      </c>
      <c r="K17" s="65"/>
    </row>
    <row r="18" spans="1:11" ht="15.75" x14ac:dyDescent="0.25">
      <c r="A18" s="52"/>
      <c r="B18" s="51"/>
      <c r="C18" s="92" t="s">
        <v>578</v>
      </c>
      <c r="D18" s="50">
        <v>0.31</v>
      </c>
      <c r="E18" s="134">
        <f t="shared" si="0"/>
        <v>4.2860522616740816E-2</v>
      </c>
      <c r="F18" s="50">
        <v>60</v>
      </c>
      <c r="G18" s="50">
        <f t="shared" si="4"/>
        <v>0.18600000000000003</v>
      </c>
      <c r="H18" s="50">
        <f>+G18*J18</f>
        <v>1.3020000000000003</v>
      </c>
      <c r="I18" s="50">
        <f t="shared" si="3"/>
        <v>4.2000000000000011</v>
      </c>
      <c r="J18" s="50">
        <v>7</v>
      </c>
      <c r="K18" s="65"/>
    </row>
    <row r="19" spans="1:11" ht="15.75" x14ac:dyDescent="0.25">
      <c r="A19" s="92"/>
      <c r="B19" s="55"/>
      <c r="C19" s="92" t="s">
        <v>576</v>
      </c>
      <c r="D19" s="50">
        <v>0.25</v>
      </c>
      <c r="E19" s="134">
        <f t="shared" si="0"/>
        <v>3.4564937594145813E-2</v>
      </c>
      <c r="F19" s="50">
        <v>60</v>
      </c>
      <c r="G19" s="50">
        <f>+D19*F19/100</f>
        <v>0.15</v>
      </c>
      <c r="H19" s="50">
        <f>+G19*J19</f>
        <v>1.05</v>
      </c>
      <c r="I19" s="50">
        <f t="shared" si="3"/>
        <v>4.2</v>
      </c>
      <c r="J19" s="50">
        <v>7</v>
      </c>
      <c r="K19" s="93"/>
    </row>
    <row r="20" spans="1:11" ht="15.75" x14ac:dyDescent="0.25">
      <c r="A20" s="92"/>
      <c r="B20" s="55"/>
      <c r="C20" s="92" t="s">
        <v>568</v>
      </c>
      <c r="D20" s="50">
        <v>0.64</v>
      </c>
      <c r="E20" s="134">
        <f t="shared" si="0"/>
        <v>8.8486240241013286E-2</v>
      </c>
      <c r="F20" s="50">
        <v>60</v>
      </c>
      <c r="G20" s="50">
        <f t="shared" ref="G20:G35" si="6">+D20*F20/100</f>
        <v>0.38400000000000001</v>
      </c>
      <c r="H20" s="50">
        <f t="shared" ref="H20:H35" si="7">+G20*J20</f>
        <v>2.6880000000000002</v>
      </c>
      <c r="I20" s="50">
        <f t="shared" si="3"/>
        <v>4.2</v>
      </c>
      <c r="J20" s="50">
        <v>7</v>
      </c>
      <c r="K20" s="93"/>
    </row>
    <row r="21" spans="1:11" ht="15.75" x14ac:dyDescent="0.25">
      <c r="A21" s="92"/>
      <c r="B21" s="55"/>
      <c r="C21" s="92" t="s">
        <v>574</v>
      </c>
      <c r="D21" s="50">
        <v>2.89</v>
      </c>
      <c r="E21" s="134">
        <f t="shared" si="0"/>
        <v>0.39957067858832568</v>
      </c>
      <c r="F21" s="50">
        <v>60</v>
      </c>
      <c r="G21" s="50">
        <f t="shared" si="6"/>
        <v>1.734</v>
      </c>
      <c r="H21" s="50">
        <f t="shared" si="7"/>
        <v>12.138</v>
      </c>
      <c r="I21" s="50">
        <f t="shared" si="3"/>
        <v>4.2</v>
      </c>
      <c r="J21" s="50">
        <v>7</v>
      </c>
      <c r="K21" s="93"/>
    </row>
    <row r="22" spans="1:11" ht="15.75" x14ac:dyDescent="0.25">
      <c r="A22" s="92"/>
      <c r="B22" s="55"/>
      <c r="C22" s="92" t="s">
        <v>570</v>
      </c>
      <c r="D22" s="50">
        <v>0.48</v>
      </c>
      <c r="E22" s="134">
        <f t="shared" si="0"/>
        <v>6.6364680180759958E-2</v>
      </c>
      <c r="F22" s="50">
        <v>60</v>
      </c>
      <c r="G22" s="50">
        <f t="shared" si="6"/>
        <v>0.28799999999999998</v>
      </c>
      <c r="H22" s="50">
        <f t="shared" si="7"/>
        <v>2.016</v>
      </c>
      <c r="I22" s="50">
        <f t="shared" si="3"/>
        <v>4.2</v>
      </c>
      <c r="J22" s="50">
        <v>7</v>
      </c>
      <c r="K22" s="93"/>
    </row>
    <row r="23" spans="1:11" ht="15.75" x14ac:dyDescent="0.25">
      <c r="A23" s="92"/>
      <c r="B23" s="55"/>
      <c r="C23" s="92" t="s">
        <v>572</v>
      </c>
      <c r="D23" s="50">
        <v>1.31</v>
      </c>
      <c r="E23" s="134">
        <f t="shared" si="0"/>
        <v>0.18112027299332409</v>
      </c>
      <c r="F23" s="50">
        <v>60</v>
      </c>
      <c r="G23" s="50">
        <f t="shared" si="6"/>
        <v>0.78600000000000003</v>
      </c>
      <c r="H23" s="50">
        <f t="shared" si="7"/>
        <v>5.5020000000000007</v>
      </c>
      <c r="I23" s="50">
        <f t="shared" si="3"/>
        <v>4.2</v>
      </c>
      <c r="J23" s="50">
        <v>7</v>
      </c>
      <c r="K23" s="93"/>
    </row>
    <row r="24" spans="1:11" ht="15.75" x14ac:dyDescent="0.25">
      <c r="A24" s="92"/>
      <c r="B24" s="55"/>
      <c r="C24" s="92" t="s">
        <v>566</v>
      </c>
      <c r="D24" s="50">
        <v>0.3</v>
      </c>
      <c r="E24" s="134">
        <f t="shared" si="0"/>
        <v>4.1477925112974982E-2</v>
      </c>
      <c r="F24" s="50">
        <v>60</v>
      </c>
      <c r="G24" s="50">
        <f t="shared" si="6"/>
        <v>0.18</v>
      </c>
      <c r="H24" s="50">
        <f t="shared" si="7"/>
        <v>1.26</v>
      </c>
      <c r="I24" s="50">
        <f t="shared" si="3"/>
        <v>4.2</v>
      </c>
      <c r="J24" s="50">
        <v>7</v>
      </c>
      <c r="K24" s="93"/>
    </row>
    <row r="25" spans="1:11" ht="15.75" x14ac:dyDescent="0.25">
      <c r="A25" s="92"/>
      <c r="B25" s="55"/>
      <c r="C25" s="92" t="s">
        <v>564</v>
      </c>
      <c r="D25" s="50">
        <v>1.61</v>
      </c>
      <c r="E25" s="134">
        <f t="shared" si="0"/>
        <v>0.22259819810629905</v>
      </c>
      <c r="F25" s="50">
        <v>60</v>
      </c>
      <c r="G25" s="50">
        <f t="shared" si="6"/>
        <v>0.96600000000000008</v>
      </c>
      <c r="H25" s="50">
        <f t="shared" si="7"/>
        <v>6.7620000000000005</v>
      </c>
      <c r="I25" s="50">
        <f t="shared" si="3"/>
        <v>4.2</v>
      </c>
      <c r="J25" s="50">
        <v>7</v>
      </c>
      <c r="K25" s="93"/>
    </row>
    <row r="26" spans="1:11" ht="15.75" x14ac:dyDescent="0.25">
      <c r="A26" s="92"/>
      <c r="B26" s="55"/>
      <c r="C26" s="92" t="s">
        <v>562</v>
      </c>
      <c r="D26" s="50">
        <v>0.64</v>
      </c>
      <c r="E26" s="134">
        <f t="shared" si="0"/>
        <v>8.8486240241013286E-2</v>
      </c>
      <c r="F26" s="50">
        <v>60</v>
      </c>
      <c r="G26" s="50">
        <f t="shared" si="6"/>
        <v>0.38400000000000001</v>
      </c>
      <c r="H26" s="50">
        <f t="shared" si="7"/>
        <v>2.6880000000000002</v>
      </c>
      <c r="I26" s="50">
        <f t="shared" si="3"/>
        <v>4.2</v>
      </c>
      <c r="J26" s="50">
        <v>7</v>
      </c>
      <c r="K26" s="93"/>
    </row>
    <row r="27" spans="1:11" ht="15.75" x14ac:dyDescent="0.25">
      <c r="A27" s="92"/>
      <c r="B27" s="55"/>
      <c r="C27" s="92" t="s">
        <v>560</v>
      </c>
      <c r="D27" s="50">
        <v>1.52</v>
      </c>
      <c r="E27" s="134">
        <f t="shared" si="0"/>
        <v>0.21015482057240659</v>
      </c>
      <c r="F27" s="50">
        <v>60</v>
      </c>
      <c r="G27" s="50">
        <f t="shared" si="6"/>
        <v>0.91200000000000003</v>
      </c>
      <c r="H27" s="50">
        <f t="shared" si="7"/>
        <v>6.3840000000000003</v>
      </c>
      <c r="I27" s="50">
        <f t="shared" si="3"/>
        <v>4.2</v>
      </c>
      <c r="J27" s="50">
        <v>7</v>
      </c>
      <c r="K27" s="93"/>
    </row>
    <row r="28" spans="1:11" ht="15.75" x14ac:dyDescent="0.25">
      <c r="A28" s="92"/>
      <c r="B28" s="55"/>
      <c r="C28" s="92" t="s">
        <v>558</v>
      </c>
      <c r="D28" s="50">
        <v>0.85</v>
      </c>
      <c r="E28" s="134">
        <f t="shared" si="0"/>
        <v>0.11752078782009577</v>
      </c>
      <c r="F28" s="50">
        <v>60</v>
      </c>
      <c r="G28" s="50">
        <f t="shared" si="6"/>
        <v>0.51</v>
      </c>
      <c r="H28" s="50">
        <f t="shared" si="7"/>
        <v>3.5700000000000003</v>
      </c>
      <c r="I28" s="50">
        <f t="shared" si="3"/>
        <v>4.2</v>
      </c>
      <c r="J28" s="50">
        <v>7</v>
      </c>
      <c r="K28" s="93"/>
    </row>
    <row r="29" spans="1:11" ht="15.75" x14ac:dyDescent="0.25">
      <c r="A29" s="92"/>
      <c r="B29" s="55"/>
      <c r="C29" s="92" t="s">
        <v>556</v>
      </c>
      <c r="D29" s="50">
        <v>5.71</v>
      </c>
      <c r="E29" s="134">
        <f t="shared" si="0"/>
        <v>0.78946317465029037</v>
      </c>
      <c r="F29" s="50">
        <v>60</v>
      </c>
      <c r="G29" s="50">
        <f t="shared" si="6"/>
        <v>3.4260000000000002</v>
      </c>
      <c r="H29" s="50">
        <f t="shared" si="7"/>
        <v>23.981999999999999</v>
      </c>
      <c r="I29" s="50">
        <f t="shared" si="3"/>
        <v>4.2</v>
      </c>
      <c r="J29" s="50">
        <v>7</v>
      </c>
      <c r="K29" s="93"/>
    </row>
    <row r="30" spans="1:11" ht="15.75" x14ac:dyDescent="0.25">
      <c r="A30" s="92"/>
      <c r="B30" s="55"/>
      <c r="C30" s="92" t="s">
        <v>554</v>
      </c>
      <c r="D30" s="50">
        <v>1.84</v>
      </c>
      <c r="E30" s="134">
        <f t="shared" si="0"/>
        <v>0.25439794069291322</v>
      </c>
      <c r="F30" s="50">
        <v>60</v>
      </c>
      <c r="G30" s="50">
        <f t="shared" si="6"/>
        <v>1.1040000000000001</v>
      </c>
      <c r="H30" s="50">
        <f t="shared" si="7"/>
        <v>7.7280000000000006</v>
      </c>
      <c r="I30" s="50">
        <f t="shared" si="3"/>
        <v>4.2</v>
      </c>
      <c r="J30" s="50">
        <v>7</v>
      </c>
      <c r="K30" s="93"/>
    </row>
    <row r="31" spans="1:11" ht="15.75" x14ac:dyDescent="0.25">
      <c r="A31" s="92"/>
      <c r="B31" s="55"/>
      <c r="C31" s="92" t="s">
        <v>736</v>
      </c>
      <c r="D31" s="50">
        <v>2.13</v>
      </c>
      <c r="E31" s="134">
        <f t="shared" si="0"/>
        <v>0.2944932683021223</v>
      </c>
      <c r="F31" s="50">
        <v>60</v>
      </c>
      <c r="G31" s="50">
        <f t="shared" si="6"/>
        <v>1.278</v>
      </c>
      <c r="H31" s="50">
        <f t="shared" si="7"/>
        <v>8.9459999999999997</v>
      </c>
      <c r="I31" s="50">
        <f t="shared" si="3"/>
        <v>4.2</v>
      </c>
      <c r="J31" s="50">
        <v>7</v>
      </c>
      <c r="K31" s="93"/>
    </row>
    <row r="32" spans="1:11" ht="15.75" x14ac:dyDescent="0.25">
      <c r="A32" s="92"/>
      <c r="B32" s="55"/>
      <c r="C32" s="92" t="s">
        <v>737</v>
      </c>
      <c r="D32" s="50">
        <v>0.4</v>
      </c>
      <c r="E32" s="134">
        <f t="shared" si="0"/>
        <v>5.5303900150633307E-2</v>
      </c>
      <c r="F32" s="50">
        <v>60</v>
      </c>
      <c r="G32" s="50">
        <f t="shared" si="6"/>
        <v>0.24</v>
      </c>
      <c r="H32" s="50">
        <f t="shared" si="7"/>
        <v>1.68</v>
      </c>
      <c r="I32" s="50">
        <f t="shared" si="3"/>
        <v>4.1999999999999993</v>
      </c>
      <c r="J32" s="50">
        <v>7</v>
      </c>
      <c r="K32" s="93"/>
    </row>
    <row r="33" spans="1:11" ht="15.75" x14ac:dyDescent="0.25">
      <c r="A33" s="92"/>
      <c r="B33" s="55"/>
      <c r="C33" s="92" t="s">
        <v>738</v>
      </c>
      <c r="D33" s="50">
        <v>0.05</v>
      </c>
      <c r="E33" s="134">
        <f t="shared" si="0"/>
        <v>6.9129875188291634E-3</v>
      </c>
      <c r="F33" s="50">
        <v>60</v>
      </c>
      <c r="G33" s="50">
        <f t="shared" si="6"/>
        <v>0.03</v>
      </c>
      <c r="H33" s="50">
        <f t="shared" si="7"/>
        <v>0.21</v>
      </c>
      <c r="I33" s="50">
        <f t="shared" si="3"/>
        <v>4.1999999999999993</v>
      </c>
      <c r="J33" s="50">
        <v>7</v>
      </c>
      <c r="K33" s="93"/>
    </row>
    <row r="34" spans="1:11" ht="15.75" x14ac:dyDescent="0.25">
      <c r="A34" s="92"/>
      <c r="B34" s="55"/>
      <c r="C34" s="92" t="s">
        <v>739</v>
      </c>
      <c r="D34" s="50">
        <v>0.08</v>
      </c>
      <c r="E34" s="134">
        <f t="shared" si="0"/>
        <v>1.1060780030126661E-2</v>
      </c>
      <c r="F34" s="50">
        <v>60</v>
      </c>
      <c r="G34" s="50">
        <f t="shared" si="6"/>
        <v>4.8000000000000001E-2</v>
      </c>
      <c r="H34" s="50">
        <f t="shared" si="7"/>
        <v>0.33600000000000002</v>
      </c>
      <c r="I34" s="50">
        <f t="shared" si="3"/>
        <v>4.2</v>
      </c>
      <c r="J34" s="50">
        <v>7</v>
      </c>
      <c r="K34" s="93"/>
    </row>
    <row r="35" spans="1:11" ht="15.75" x14ac:dyDescent="0.25">
      <c r="A35" s="52">
        <v>1.3</v>
      </c>
      <c r="B35" s="51" t="s">
        <v>119</v>
      </c>
      <c r="C35" s="52" t="s">
        <v>332</v>
      </c>
      <c r="D35" s="53">
        <v>0.2883</v>
      </c>
      <c r="E35" s="135">
        <f t="shared" si="0"/>
        <v>3.9860286033568955E-2</v>
      </c>
      <c r="F35" s="53">
        <v>5</v>
      </c>
      <c r="G35" s="53">
        <f t="shared" si="6"/>
        <v>1.4415000000000001E-2</v>
      </c>
      <c r="H35" s="53">
        <f t="shared" si="7"/>
        <v>1.4415000000000001E-2</v>
      </c>
      <c r="I35" s="53">
        <f t="shared" si="3"/>
        <v>0.05</v>
      </c>
      <c r="J35" s="53">
        <v>1</v>
      </c>
      <c r="K35" s="65"/>
    </row>
    <row r="36" spans="1:11" ht="15.75" x14ac:dyDescent="0.25">
      <c r="A36" s="52">
        <v>1.4</v>
      </c>
      <c r="B36" s="51" t="s">
        <v>118</v>
      </c>
      <c r="C36" s="52"/>
      <c r="D36" s="53">
        <f>+D37</f>
        <v>0.56999999999999995</v>
      </c>
      <c r="E36" s="135">
        <f t="shared" si="0"/>
        <v>7.8808057714652449E-2</v>
      </c>
      <c r="F36" s="53">
        <v>40</v>
      </c>
      <c r="G36" s="53">
        <f>+D36*F36/100</f>
        <v>0.22799999999999998</v>
      </c>
      <c r="H36" s="53">
        <f>+G36*J36</f>
        <v>0.68399999999999994</v>
      </c>
      <c r="I36" s="53">
        <f t="shared" si="3"/>
        <v>1.2</v>
      </c>
      <c r="J36" s="53">
        <v>3</v>
      </c>
      <c r="K36" s="65"/>
    </row>
    <row r="37" spans="1:11" ht="15.75" x14ac:dyDescent="0.25">
      <c r="A37" s="92"/>
      <c r="B37" s="55" t="s">
        <v>93</v>
      </c>
      <c r="C37" s="92" t="s">
        <v>372</v>
      </c>
      <c r="D37" s="50">
        <v>0.56999999999999995</v>
      </c>
      <c r="E37" s="134">
        <f t="shared" si="0"/>
        <v>7.8808057714652449E-2</v>
      </c>
      <c r="F37" s="50">
        <v>40</v>
      </c>
      <c r="G37" s="50">
        <f>+D37*F37/100</f>
        <v>0.22799999999999998</v>
      </c>
      <c r="H37" s="50">
        <f>+G37*J37</f>
        <v>0.68399999999999994</v>
      </c>
      <c r="I37" s="50">
        <f t="shared" si="3"/>
        <v>1.2</v>
      </c>
      <c r="J37" s="50">
        <v>3</v>
      </c>
      <c r="K37" s="93"/>
    </row>
    <row r="38" spans="1:11" ht="15.75" x14ac:dyDescent="0.25">
      <c r="A38" s="52">
        <v>1.5</v>
      </c>
      <c r="B38" s="51" t="s">
        <v>661</v>
      </c>
      <c r="C38" s="52"/>
      <c r="D38" s="53">
        <f>+D39+D40</f>
        <v>0.35</v>
      </c>
      <c r="E38" s="135">
        <f t="shared" si="0"/>
        <v>4.8390912631804138E-2</v>
      </c>
      <c r="F38" s="53">
        <v>40</v>
      </c>
      <c r="G38" s="53">
        <f>+D38*F38/100</f>
        <v>0.14000000000000001</v>
      </c>
      <c r="H38" s="53">
        <f>+G38*J38</f>
        <v>0.42000000000000004</v>
      </c>
      <c r="I38" s="53">
        <f t="shared" si="3"/>
        <v>1.2000000000000002</v>
      </c>
      <c r="J38" s="53">
        <v>3</v>
      </c>
      <c r="K38" s="65"/>
    </row>
    <row r="39" spans="1:11" ht="15.75" x14ac:dyDescent="0.25">
      <c r="A39" s="92"/>
      <c r="B39" s="55"/>
      <c r="C39" s="92" t="s">
        <v>662</v>
      </c>
      <c r="D39" s="50">
        <v>0.32</v>
      </c>
      <c r="E39" s="134">
        <f t="shared" si="0"/>
        <v>4.4243120120506643E-2</v>
      </c>
      <c r="F39" s="50">
        <v>40</v>
      </c>
      <c r="G39" s="50">
        <f>+D39*F39/100</f>
        <v>0.128</v>
      </c>
      <c r="H39" s="50">
        <f>+G39*J39</f>
        <v>0.38400000000000001</v>
      </c>
      <c r="I39" s="50">
        <f t="shared" si="3"/>
        <v>1.2</v>
      </c>
      <c r="J39" s="50">
        <v>3</v>
      </c>
      <c r="K39" s="93"/>
    </row>
    <row r="40" spans="1:11" ht="15.75" x14ac:dyDescent="0.25">
      <c r="A40" s="92"/>
      <c r="B40" s="55"/>
      <c r="C40" s="92" t="s">
        <v>741</v>
      </c>
      <c r="D40" s="50">
        <v>0.03</v>
      </c>
      <c r="E40" s="134">
        <f t="shared" si="0"/>
        <v>4.1477925112974974E-3</v>
      </c>
      <c r="F40" s="50">
        <v>40</v>
      </c>
      <c r="G40" s="50">
        <f>+D40*F40/100</f>
        <v>1.2E-2</v>
      </c>
      <c r="H40" s="50">
        <f>+G40*J40</f>
        <v>3.6000000000000004E-2</v>
      </c>
      <c r="I40" s="50">
        <f t="shared" si="3"/>
        <v>1.2000000000000002</v>
      </c>
      <c r="J40" s="50">
        <v>3</v>
      </c>
      <c r="K40" s="93"/>
    </row>
    <row r="41" spans="1:11" ht="15.75" x14ac:dyDescent="0.25">
      <c r="A41" s="237">
        <v>2</v>
      </c>
      <c r="B41" s="238" t="s">
        <v>596</v>
      </c>
      <c r="C41" s="237"/>
      <c r="D41" s="239">
        <f>+SUM(D42:D46)</f>
        <v>18.814299999999996</v>
      </c>
      <c r="E41" s="240">
        <f t="shared" si="0"/>
        <v>2.6012604215101502</v>
      </c>
      <c r="F41" s="239">
        <v>5</v>
      </c>
      <c r="G41" s="239">
        <f t="shared" ref="G41:G46" si="8">+D41*F41/100</f>
        <v>0.94071499999999986</v>
      </c>
      <c r="H41" s="239">
        <f t="shared" ref="H41:H46" si="9">+G41*J41</f>
        <v>0.94071499999999986</v>
      </c>
      <c r="I41" s="239">
        <f t="shared" si="3"/>
        <v>0.05</v>
      </c>
      <c r="J41" s="239">
        <v>1</v>
      </c>
      <c r="K41" s="241"/>
    </row>
    <row r="42" spans="1:11" ht="15.75" x14ac:dyDescent="0.25">
      <c r="A42" s="92"/>
      <c r="B42" s="55"/>
      <c r="C42" s="92" t="s">
        <v>599</v>
      </c>
      <c r="D42" s="50">
        <v>9.7799999999999994</v>
      </c>
      <c r="E42" s="134">
        <f t="shared" si="0"/>
        <v>1.3521803586829841</v>
      </c>
      <c r="F42" s="50">
        <v>5</v>
      </c>
      <c r="G42" s="50">
        <f t="shared" si="8"/>
        <v>0.48899999999999999</v>
      </c>
      <c r="H42" s="50">
        <f t="shared" si="9"/>
        <v>0.48899999999999999</v>
      </c>
      <c r="I42" s="50">
        <f t="shared" si="3"/>
        <v>0.05</v>
      </c>
      <c r="J42" s="50">
        <v>1</v>
      </c>
      <c r="K42" s="93"/>
    </row>
    <row r="43" spans="1:11" ht="15.75" x14ac:dyDescent="0.25">
      <c r="A43" s="92"/>
      <c r="B43" s="55"/>
      <c r="C43" s="92" t="s">
        <v>600</v>
      </c>
      <c r="D43" s="50">
        <v>1.21</v>
      </c>
      <c r="E43" s="134">
        <f t="shared" si="0"/>
        <v>0.16729429795566575</v>
      </c>
      <c r="F43" s="50">
        <v>5</v>
      </c>
      <c r="G43" s="50">
        <f t="shared" si="8"/>
        <v>6.0499999999999998E-2</v>
      </c>
      <c r="H43" s="50">
        <f t="shared" si="9"/>
        <v>6.0499999999999998E-2</v>
      </c>
      <c r="I43" s="50">
        <f t="shared" si="3"/>
        <v>0.05</v>
      </c>
      <c r="J43" s="50">
        <v>1</v>
      </c>
      <c r="K43" s="93"/>
    </row>
    <row r="44" spans="1:11" ht="15.75" x14ac:dyDescent="0.25">
      <c r="A44" s="92"/>
      <c r="B44" s="55"/>
      <c r="C44" s="92" t="s">
        <v>601</v>
      </c>
      <c r="D44" s="50">
        <v>4.38</v>
      </c>
      <c r="E44" s="134">
        <f t="shared" si="0"/>
        <v>0.60557770664943467</v>
      </c>
      <c r="F44" s="50">
        <v>5</v>
      </c>
      <c r="G44" s="50">
        <f t="shared" si="8"/>
        <v>0.21899999999999997</v>
      </c>
      <c r="H44" s="50">
        <f t="shared" si="9"/>
        <v>0.21899999999999997</v>
      </c>
      <c r="I44" s="50">
        <f t="shared" si="3"/>
        <v>4.9999999999999996E-2</v>
      </c>
      <c r="J44" s="50">
        <v>1</v>
      </c>
      <c r="K44" s="93"/>
    </row>
    <row r="45" spans="1:11" ht="15.75" x14ac:dyDescent="0.25">
      <c r="A45" s="92"/>
      <c r="B45" s="55"/>
      <c r="C45" s="92" t="s">
        <v>602</v>
      </c>
      <c r="D45" s="50">
        <v>1.54</v>
      </c>
      <c r="E45" s="134">
        <f t="shared" si="0"/>
        <v>0.21292001557993825</v>
      </c>
      <c r="F45" s="50">
        <v>5</v>
      </c>
      <c r="G45" s="50">
        <f t="shared" si="8"/>
        <v>7.6999999999999999E-2</v>
      </c>
      <c r="H45" s="50">
        <f t="shared" si="9"/>
        <v>7.6999999999999999E-2</v>
      </c>
      <c r="I45" s="50">
        <f t="shared" si="3"/>
        <v>4.9999999999999996E-2</v>
      </c>
      <c r="J45" s="50">
        <v>1</v>
      </c>
      <c r="K45" s="93"/>
    </row>
    <row r="46" spans="1:11" ht="15.75" x14ac:dyDescent="0.25">
      <c r="A46" s="92"/>
      <c r="B46" s="55"/>
      <c r="C46" s="92" t="s">
        <v>603</v>
      </c>
      <c r="D46" s="50">
        <v>1.9043000000000001</v>
      </c>
      <c r="E46" s="134">
        <f t="shared" si="0"/>
        <v>0.26328804264212752</v>
      </c>
      <c r="F46" s="50">
        <v>5</v>
      </c>
      <c r="G46" s="50">
        <f t="shared" si="8"/>
        <v>9.5214999999999994E-2</v>
      </c>
      <c r="H46" s="50">
        <f t="shared" si="9"/>
        <v>9.5214999999999994E-2</v>
      </c>
      <c r="I46" s="50">
        <f t="shared" si="3"/>
        <v>4.9999999999999996E-2</v>
      </c>
      <c r="J46" s="50">
        <v>1</v>
      </c>
      <c r="K46" s="93"/>
    </row>
    <row r="47" spans="1:11" ht="15.75" x14ac:dyDescent="0.25">
      <c r="A47" s="233" t="s">
        <v>607</v>
      </c>
      <c r="B47" s="234" t="s">
        <v>595</v>
      </c>
      <c r="C47" s="233"/>
      <c r="D47" s="235">
        <f>+D48+D51+D54+D59+D60+D61+D62+D66</f>
        <v>89.91510000000001</v>
      </c>
      <c r="E47" s="235">
        <f t="shared" si="0"/>
        <v>12.431639281085523</v>
      </c>
      <c r="F47" s="235">
        <f>+G47*100/D47</f>
        <v>30.357214750358949</v>
      </c>
      <c r="G47" s="235">
        <f>+G48+G51+G54+G59+G60+G61+G62</f>
        <v>27.295720000000003</v>
      </c>
      <c r="H47" s="235"/>
      <c r="I47" s="242"/>
      <c r="J47" s="235"/>
      <c r="K47" s="236"/>
    </row>
    <row r="48" spans="1:11" ht="15.75" x14ac:dyDescent="0.25">
      <c r="A48" s="237">
        <v>1</v>
      </c>
      <c r="B48" s="238" t="s">
        <v>47</v>
      </c>
      <c r="C48" s="237"/>
      <c r="D48" s="239">
        <f>+SUM(D49:D50)</f>
        <v>36.28</v>
      </c>
      <c r="E48" s="240">
        <f t="shared" si="0"/>
        <v>5.0160637436624409</v>
      </c>
      <c r="F48" s="239">
        <v>40</v>
      </c>
      <c r="G48" s="239">
        <f>+D48*F48/100</f>
        <v>14.512</v>
      </c>
      <c r="H48" s="239">
        <f t="shared" ref="H48:H53" si="10">+G48*J48</f>
        <v>217.68</v>
      </c>
      <c r="I48" s="239">
        <f t="shared" si="3"/>
        <v>6</v>
      </c>
      <c r="J48" s="239">
        <v>15</v>
      </c>
      <c r="K48" s="241"/>
    </row>
    <row r="49" spans="1:11" ht="15.75" x14ac:dyDescent="0.25">
      <c r="A49" s="92"/>
      <c r="B49" s="55"/>
      <c r="C49" s="92" t="s">
        <v>380</v>
      </c>
      <c r="D49" s="50">
        <v>34.020000000000003</v>
      </c>
      <c r="E49" s="134">
        <f t="shared" si="0"/>
        <v>4.7035967078113634</v>
      </c>
      <c r="F49" s="50">
        <v>40</v>
      </c>
      <c r="G49" s="50">
        <f t="shared" ref="G49:G53" si="11">+D49*F49/100</f>
        <v>13.608000000000002</v>
      </c>
      <c r="H49" s="50">
        <f t="shared" si="10"/>
        <v>204.12000000000003</v>
      </c>
      <c r="I49" s="50">
        <f t="shared" si="3"/>
        <v>6</v>
      </c>
      <c r="J49" s="50">
        <v>15</v>
      </c>
      <c r="K49" s="93"/>
    </row>
    <row r="50" spans="1:11" ht="15.75" x14ac:dyDescent="0.25">
      <c r="A50" s="92"/>
      <c r="B50" s="55"/>
      <c r="C50" s="92" t="s">
        <v>378</v>
      </c>
      <c r="D50" s="50">
        <v>2.2599999999999998</v>
      </c>
      <c r="E50" s="134">
        <f t="shared" si="0"/>
        <v>0.31246703585107816</v>
      </c>
      <c r="F50" s="50">
        <v>40</v>
      </c>
      <c r="G50" s="50">
        <f t="shared" si="11"/>
        <v>0.90399999999999991</v>
      </c>
      <c r="H50" s="50">
        <f t="shared" si="10"/>
        <v>13.559999999999999</v>
      </c>
      <c r="I50" s="50">
        <f t="shared" si="3"/>
        <v>6</v>
      </c>
      <c r="J50" s="50">
        <v>15</v>
      </c>
      <c r="K50" s="93"/>
    </row>
    <row r="51" spans="1:11" ht="15.75" x14ac:dyDescent="0.25">
      <c r="A51" s="237">
        <v>2</v>
      </c>
      <c r="B51" s="238" t="s">
        <v>92</v>
      </c>
      <c r="C51" s="237"/>
      <c r="D51" s="239">
        <f>+SUM(D52:D53)</f>
        <v>1.65</v>
      </c>
      <c r="E51" s="240">
        <f t="shared" si="0"/>
        <v>0.22812858812136239</v>
      </c>
      <c r="F51" s="239">
        <v>5</v>
      </c>
      <c r="G51" s="239">
        <f t="shared" si="11"/>
        <v>8.2500000000000004E-2</v>
      </c>
      <c r="H51" s="239">
        <f t="shared" si="10"/>
        <v>8.2500000000000004E-2</v>
      </c>
      <c r="I51" s="239">
        <f t="shared" si="3"/>
        <v>0.05</v>
      </c>
      <c r="J51" s="239">
        <v>1</v>
      </c>
      <c r="K51" s="241"/>
    </row>
    <row r="52" spans="1:11" ht="15.75" x14ac:dyDescent="0.25">
      <c r="A52" s="92"/>
      <c r="B52" s="55"/>
      <c r="C52" s="92" t="s">
        <v>659</v>
      </c>
      <c r="D52" s="50">
        <v>0.47</v>
      </c>
      <c r="E52" s="134">
        <f t="shared" si="0"/>
        <v>6.4982082676994124E-2</v>
      </c>
      <c r="F52" s="50">
        <v>5</v>
      </c>
      <c r="G52" s="50">
        <f t="shared" si="11"/>
        <v>2.3499999999999997E-2</v>
      </c>
      <c r="H52" s="50">
        <f t="shared" si="10"/>
        <v>2.3499999999999997E-2</v>
      </c>
      <c r="I52" s="50">
        <f t="shared" si="3"/>
        <v>4.9999999999999996E-2</v>
      </c>
      <c r="J52" s="50">
        <v>1</v>
      </c>
      <c r="K52" s="93"/>
    </row>
    <row r="53" spans="1:11" ht="15.75" x14ac:dyDescent="0.25">
      <c r="A53" s="92"/>
      <c r="B53" s="55"/>
      <c r="C53" s="92" t="s">
        <v>660</v>
      </c>
      <c r="D53" s="50">
        <v>1.18</v>
      </c>
      <c r="E53" s="134">
        <f t="shared" si="0"/>
        <v>0.16314650544436826</v>
      </c>
      <c r="F53" s="50">
        <v>5</v>
      </c>
      <c r="G53" s="50">
        <f t="shared" si="11"/>
        <v>5.8999999999999997E-2</v>
      </c>
      <c r="H53" s="50">
        <f t="shared" si="10"/>
        <v>5.8999999999999997E-2</v>
      </c>
      <c r="I53" s="50">
        <f t="shared" si="3"/>
        <v>0.05</v>
      </c>
      <c r="J53" s="50">
        <v>1</v>
      </c>
      <c r="K53" s="93"/>
    </row>
    <row r="54" spans="1:11" ht="15.75" x14ac:dyDescent="0.25">
      <c r="A54" s="237">
        <v>3</v>
      </c>
      <c r="B54" s="238" t="s">
        <v>96</v>
      </c>
      <c r="C54" s="237"/>
      <c r="D54" s="239">
        <f>+SUM(D55:D58)</f>
        <v>9.4390999999999998</v>
      </c>
      <c r="E54" s="240">
        <f t="shared" si="0"/>
        <v>1.3050476097796071</v>
      </c>
      <c r="F54" s="239">
        <f>+F55</f>
        <v>60</v>
      </c>
      <c r="G54" s="239">
        <f>+SUM(G55:G58)</f>
        <v>5.6634600000000006</v>
      </c>
      <c r="H54" s="239">
        <f>+SUM(H55:H58)</f>
        <v>16.990380000000002</v>
      </c>
      <c r="I54" s="239">
        <f t="shared" si="3"/>
        <v>1.8000000000000003</v>
      </c>
      <c r="J54" s="239">
        <v>3</v>
      </c>
      <c r="K54" s="241"/>
    </row>
    <row r="55" spans="1:11" ht="15.75" x14ac:dyDescent="0.25">
      <c r="A55" s="92"/>
      <c r="B55" s="55"/>
      <c r="C55" s="92" t="s">
        <v>370</v>
      </c>
      <c r="D55" s="50">
        <v>0.39460000000000001</v>
      </c>
      <c r="E55" s="134">
        <f t="shared" si="0"/>
        <v>5.4557297498599756E-2</v>
      </c>
      <c r="F55" s="50">
        <v>60</v>
      </c>
      <c r="G55" s="50">
        <f>+D55*F55/100</f>
        <v>0.23676000000000003</v>
      </c>
      <c r="H55" s="50">
        <f>+G55*J55</f>
        <v>0.71028000000000002</v>
      </c>
      <c r="I55" s="50">
        <f t="shared" si="3"/>
        <v>1.8</v>
      </c>
      <c r="J55" s="50">
        <v>3</v>
      </c>
      <c r="K55" s="93"/>
    </row>
    <row r="56" spans="1:11" ht="15.75" x14ac:dyDescent="0.25">
      <c r="A56" s="92"/>
      <c r="B56" s="55"/>
      <c r="C56" s="92" t="s">
        <v>368</v>
      </c>
      <c r="D56" s="50">
        <v>1.0246999999999999</v>
      </c>
      <c r="E56" s="134">
        <f t="shared" si="0"/>
        <v>0.14167476621088487</v>
      </c>
      <c r="F56" s="50">
        <v>60</v>
      </c>
      <c r="G56" s="50">
        <f t="shared" ref="G56:G58" si="12">+D56*F56/100</f>
        <v>0.61482000000000003</v>
      </c>
      <c r="H56" s="50">
        <f t="shared" ref="H56:H60" si="13">+G56*J56</f>
        <v>1.8444600000000002</v>
      </c>
      <c r="I56" s="50">
        <f t="shared" si="3"/>
        <v>1.8000000000000003</v>
      </c>
      <c r="J56" s="50">
        <v>3</v>
      </c>
      <c r="K56" s="93"/>
    </row>
    <row r="57" spans="1:11" ht="15.75" x14ac:dyDescent="0.25">
      <c r="A57" s="92"/>
      <c r="B57" s="55"/>
      <c r="C57" s="92" t="s">
        <v>366</v>
      </c>
      <c r="D57" s="50">
        <v>3.6457000000000002</v>
      </c>
      <c r="E57" s="134">
        <f t="shared" si="0"/>
        <v>0.50405357194790967</v>
      </c>
      <c r="F57" s="50">
        <v>60</v>
      </c>
      <c r="G57" s="50">
        <f t="shared" si="12"/>
        <v>2.1874200000000004</v>
      </c>
      <c r="H57" s="50">
        <f t="shared" si="13"/>
        <v>6.5622600000000011</v>
      </c>
      <c r="I57" s="50">
        <f t="shared" si="3"/>
        <v>1.8000000000000003</v>
      </c>
      <c r="J57" s="50">
        <v>3</v>
      </c>
      <c r="K57" s="93"/>
    </row>
    <row r="58" spans="1:11" ht="15.75" x14ac:dyDescent="0.25">
      <c r="A58" s="92"/>
      <c r="B58" s="55"/>
      <c r="C58" s="92" t="s">
        <v>364</v>
      </c>
      <c r="D58" s="50">
        <v>4.3741000000000003</v>
      </c>
      <c r="E58" s="134">
        <f t="shared" si="0"/>
        <v>0.604761974122213</v>
      </c>
      <c r="F58" s="50">
        <v>60</v>
      </c>
      <c r="G58" s="50">
        <f t="shared" si="12"/>
        <v>2.6244600000000005</v>
      </c>
      <c r="H58" s="50">
        <f t="shared" si="13"/>
        <v>7.8733800000000009</v>
      </c>
      <c r="I58" s="50">
        <f t="shared" si="3"/>
        <v>1.8</v>
      </c>
      <c r="J58" s="50">
        <v>3</v>
      </c>
      <c r="K58" s="93"/>
    </row>
    <row r="59" spans="1:11" ht="15.75" x14ac:dyDescent="0.25">
      <c r="A59" s="237">
        <v>4</v>
      </c>
      <c r="B59" s="238" t="s">
        <v>98</v>
      </c>
      <c r="C59" s="237" t="s">
        <v>394</v>
      </c>
      <c r="D59" s="239">
        <v>0.60940000000000005</v>
      </c>
      <c r="E59" s="240">
        <f t="shared" si="0"/>
        <v>8.4255491879489844E-2</v>
      </c>
      <c r="F59" s="239">
        <v>40</v>
      </c>
      <c r="G59" s="239">
        <f>+D59*F59/100</f>
        <v>0.24376</v>
      </c>
      <c r="H59" s="239">
        <f t="shared" si="13"/>
        <v>1.2188000000000001</v>
      </c>
      <c r="I59" s="239">
        <f t="shared" si="3"/>
        <v>2</v>
      </c>
      <c r="J59" s="239">
        <v>5</v>
      </c>
      <c r="K59" s="241"/>
    </row>
    <row r="60" spans="1:11" ht="15.75" x14ac:dyDescent="0.25">
      <c r="A60" s="237">
        <v>5</v>
      </c>
      <c r="B60" s="238" t="s">
        <v>99</v>
      </c>
      <c r="C60" s="237" t="s">
        <v>604</v>
      </c>
      <c r="D60" s="239">
        <v>0.42</v>
      </c>
      <c r="E60" s="240">
        <f t="shared" si="0"/>
        <v>5.8069095158164968E-2</v>
      </c>
      <c r="F60" s="239">
        <v>50</v>
      </c>
      <c r="G60" s="239">
        <f t="shared" ref="G60" si="14">+D60*F60/100</f>
        <v>0.21</v>
      </c>
      <c r="H60" s="239">
        <f t="shared" si="13"/>
        <v>2.1</v>
      </c>
      <c r="I60" s="239">
        <f t="shared" si="3"/>
        <v>5</v>
      </c>
      <c r="J60" s="239">
        <v>10</v>
      </c>
      <c r="K60" s="241"/>
    </row>
    <row r="61" spans="1:11" ht="15.75" x14ac:dyDescent="0.25">
      <c r="A61" s="237">
        <v>6</v>
      </c>
      <c r="B61" s="238" t="s">
        <v>100</v>
      </c>
      <c r="C61" s="237" t="s">
        <v>374</v>
      </c>
      <c r="D61" s="239">
        <v>19.440000000000001</v>
      </c>
      <c r="E61" s="240">
        <f t="shared" si="0"/>
        <v>2.6877695473207788</v>
      </c>
      <c r="F61" s="239">
        <v>25</v>
      </c>
      <c r="G61" s="239">
        <f>+D61*F61/100</f>
        <v>4.8600000000000003</v>
      </c>
      <c r="H61" s="239">
        <f>+G61*J61</f>
        <v>24.3</v>
      </c>
      <c r="I61" s="239">
        <f t="shared" si="3"/>
        <v>1.25</v>
      </c>
      <c r="J61" s="239">
        <v>5</v>
      </c>
      <c r="K61" s="241"/>
    </row>
    <row r="62" spans="1:11" ht="15.75" x14ac:dyDescent="0.25">
      <c r="A62" s="237">
        <v>7</v>
      </c>
      <c r="B62" s="238" t="s">
        <v>105</v>
      </c>
      <c r="C62" s="237"/>
      <c r="D62" s="239">
        <f>+SUM(D63:D65)</f>
        <v>4.3100000000000005</v>
      </c>
      <c r="E62" s="240">
        <f t="shared" si="0"/>
        <v>0.5958995241230739</v>
      </c>
      <c r="F62" s="239">
        <v>40</v>
      </c>
      <c r="G62" s="239">
        <f t="shared" ref="G62:G65" si="15">+D62*F62/100</f>
        <v>1.7240000000000004</v>
      </c>
      <c r="H62" s="239">
        <f t="shared" ref="H62:H65" si="16">+G62*J62</f>
        <v>1.7240000000000004</v>
      </c>
      <c r="I62" s="239">
        <f t="shared" si="3"/>
        <v>0.40000000000000008</v>
      </c>
      <c r="J62" s="239">
        <v>1</v>
      </c>
      <c r="K62" s="241"/>
    </row>
    <row r="63" spans="1:11" ht="15.75" x14ac:dyDescent="0.25">
      <c r="A63" s="92"/>
      <c r="B63" s="55"/>
      <c r="C63" s="92" t="s">
        <v>346</v>
      </c>
      <c r="D63" s="50">
        <v>1.03</v>
      </c>
      <c r="E63" s="134">
        <f t="shared" si="0"/>
        <v>0.14240754288788077</v>
      </c>
      <c r="F63" s="50">
        <v>40</v>
      </c>
      <c r="G63" s="50">
        <f t="shared" si="15"/>
        <v>0.41200000000000003</v>
      </c>
      <c r="H63" s="50">
        <f t="shared" si="16"/>
        <v>0.41200000000000003</v>
      </c>
      <c r="I63" s="50">
        <f t="shared" si="3"/>
        <v>0.4</v>
      </c>
      <c r="J63" s="50">
        <v>1</v>
      </c>
      <c r="K63" s="93"/>
    </row>
    <row r="64" spans="1:11" ht="15.75" x14ac:dyDescent="0.25">
      <c r="A64" s="92"/>
      <c r="B64" s="55"/>
      <c r="C64" s="92" t="s">
        <v>745</v>
      </c>
      <c r="D64" s="50">
        <v>0.43</v>
      </c>
      <c r="E64" s="134">
        <f t="shared" si="0"/>
        <v>5.9451692661930802E-2</v>
      </c>
      <c r="F64" s="50">
        <v>40</v>
      </c>
      <c r="G64" s="50">
        <f t="shared" si="15"/>
        <v>0.17199999999999999</v>
      </c>
      <c r="H64" s="50">
        <f t="shared" si="16"/>
        <v>0.17199999999999999</v>
      </c>
      <c r="I64" s="50">
        <f t="shared" si="3"/>
        <v>0.39999999999999997</v>
      </c>
      <c r="J64" s="50">
        <v>1</v>
      </c>
      <c r="K64" s="93"/>
    </row>
    <row r="65" spans="1:11" ht="15.75" x14ac:dyDescent="0.25">
      <c r="A65" s="92"/>
      <c r="B65" s="55"/>
      <c r="C65" s="92" t="s">
        <v>746</v>
      </c>
      <c r="D65" s="50">
        <v>2.85</v>
      </c>
      <c r="E65" s="134">
        <f t="shared" si="0"/>
        <v>0.39404028857326234</v>
      </c>
      <c r="F65" s="50">
        <v>40</v>
      </c>
      <c r="G65" s="50">
        <f t="shared" si="15"/>
        <v>1.1399999999999999</v>
      </c>
      <c r="H65" s="50">
        <f t="shared" si="16"/>
        <v>3.42</v>
      </c>
      <c r="I65" s="50">
        <f t="shared" si="3"/>
        <v>1.2</v>
      </c>
      <c r="J65" s="50">
        <v>3</v>
      </c>
      <c r="K65" s="93"/>
    </row>
    <row r="66" spans="1:11" ht="15.75" x14ac:dyDescent="0.25">
      <c r="A66" s="237">
        <v>8</v>
      </c>
      <c r="B66" s="238" t="s">
        <v>709</v>
      </c>
      <c r="C66" s="237"/>
      <c r="D66" s="239">
        <f>+D67+D73</f>
        <v>17.7666</v>
      </c>
      <c r="E66" s="240">
        <f t="shared" si="0"/>
        <v>2.4564056810406041</v>
      </c>
      <c r="F66" s="239"/>
      <c r="G66" s="239"/>
      <c r="H66" s="239"/>
      <c r="I66" s="239"/>
      <c r="J66" s="239"/>
      <c r="K66" s="241"/>
    </row>
    <row r="67" spans="1:11" ht="15.75" x14ac:dyDescent="0.25">
      <c r="A67" s="52">
        <v>8.1</v>
      </c>
      <c r="B67" s="51" t="s">
        <v>95</v>
      </c>
      <c r="C67" s="52"/>
      <c r="D67" s="53">
        <f>+SUM(D68:D72)</f>
        <v>1.8165999999999998</v>
      </c>
      <c r="E67" s="135">
        <f t="shared" si="0"/>
        <v>0.25116266253410113</v>
      </c>
      <c r="F67" s="53"/>
      <c r="G67" s="53"/>
      <c r="H67" s="53"/>
      <c r="I67" s="53"/>
      <c r="J67" s="53"/>
      <c r="K67" s="65"/>
    </row>
    <row r="68" spans="1:11" ht="15.75" x14ac:dyDescent="0.25">
      <c r="A68" s="92"/>
      <c r="B68" s="55"/>
      <c r="C68" s="92" t="s">
        <v>222</v>
      </c>
      <c r="D68" s="50">
        <v>0.56359999999999999</v>
      </c>
      <c r="E68" s="134">
        <f t="shared" si="0"/>
        <v>7.792319531224233E-2</v>
      </c>
      <c r="F68" s="50"/>
      <c r="G68" s="50"/>
      <c r="H68" s="50"/>
      <c r="I68" s="50"/>
      <c r="J68" s="50"/>
      <c r="K68" s="93"/>
    </row>
    <row r="69" spans="1:11" ht="15.75" x14ac:dyDescent="0.25">
      <c r="A69" s="92"/>
      <c r="B69" s="55"/>
      <c r="C69" s="92" t="s">
        <v>220</v>
      </c>
      <c r="D69" s="50">
        <v>0.60470000000000002</v>
      </c>
      <c r="E69" s="134">
        <f t="shared" si="0"/>
        <v>8.3605671052719904E-2</v>
      </c>
      <c r="F69" s="50"/>
      <c r="G69" s="50"/>
      <c r="H69" s="50"/>
      <c r="I69" s="50"/>
      <c r="J69" s="50"/>
      <c r="K69" s="93"/>
    </row>
    <row r="70" spans="1:11" ht="15.75" x14ac:dyDescent="0.25">
      <c r="A70" s="92"/>
      <c r="B70" s="55"/>
      <c r="C70" s="92" t="s">
        <v>218</v>
      </c>
      <c r="D70" s="50">
        <v>0.2283</v>
      </c>
      <c r="E70" s="134">
        <f t="shared" si="0"/>
        <v>3.1564701010973958E-2</v>
      </c>
      <c r="F70" s="50"/>
      <c r="G70" s="50"/>
      <c r="H70" s="50"/>
      <c r="I70" s="50"/>
      <c r="J70" s="50"/>
      <c r="K70" s="93"/>
    </row>
    <row r="71" spans="1:11" ht="15.75" x14ac:dyDescent="0.25">
      <c r="A71" s="92"/>
      <c r="B71" s="55"/>
      <c r="C71" s="92" t="s">
        <v>216</v>
      </c>
      <c r="D71" s="50">
        <v>0.17</v>
      </c>
      <c r="E71" s="134">
        <f t="shared" si="0"/>
        <v>2.3504157564019156E-2</v>
      </c>
      <c r="F71" s="50"/>
      <c r="G71" s="50"/>
      <c r="H71" s="50"/>
      <c r="I71" s="50"/>
      <c r="J71" s="50"/>
      <c r="K71" s="93"/>
    </row>
    <row r="72" spans="1:11" ht="15.75" x14ac:dyDescent="0.25">
      <c r="A72" s="92"/>
      <c r="B72" s="55"/>
      <c r="C72" s="92" t="s">
        <v>744</v>
      </c>
      <c r="D72" s="50">
        <v>0.25</v>
      </c>
      <c r="E72" s="134">
        <f t="shared" si="0"/>
        <v>3.4564937594145813E-2</v>
      </c>
      <c r="F72" s="50"/>
      <c r="G72" s="50"/>
      <c r="H72" s="50"/>
      <c r="I72" s="50"/>
      <c r="J72" s="50"/>
      <c r="K72" s="93"/>
    </row>
    <row r="73" spans="1:11" ht="15.75" x14ac:dyDescent="0.25">
      <c r="A73" s="52">
        <v>8.1999999999999993</v>
      </c>
      <c r="B73" s="51" t="s">
        <v>53</v>
      </c>
      <c r="C73" s="52"/>
      <c r="D73" s="53">
        <f>+SUM(D74:D77)</f>
        <v>15.950000000000001</v>
      </c>
      <c r="E73" s="135">
        <f t="shared" si="0"/>
        <v>2.2052430185065033</v>
      </c>
      <c r="F73" s="53"/>
      <c r="G73" s="53"/>
      <c r="H73" s="53"/>
      <c r="I73" s="53"/>
      <c r="J73" s="53"/>
      <c r="K73" s="65"/>
    </row>
    <row r="74" spans="1:11" ht="15.75" x14ac:dyDescent="0.25">
      <c r="A74" s="92"/>
      <c r="B74" s="55"/>
      <c r="C74" s="92" t="s">
        <v>316</v>
      </c>
      <c r="D74" s="50">
        <v>3.44</v>
      </c>
      <c r="E74" s="134">
        <f t="shared" si="0"/>
        <v>0.47561354129544642</v>
      </c>
      <c r="F74" s="50"/>
      <c r="G74" s="50"/>
      <c r="H74" s="50"/>
      <c r="I74" s="50"/>
      <c r="J74" s="50"/>
      <c r="K74" s="93"/>
    </row>
    <row r="75" spans="1:11" ht="15.75" x14ac:dyDescent="0.25">
      <c r="A75" s="92"/>
      <c r="B75" s="55"/>
      <c r="C75" s="92" t="s">
        <v>314</v>
      </c>
      <c r="D75" s="50">
        <v>8.1300000000000008</v>
      </c>
      <c r="E75" s="134">
        <f t="shared" si="0"/>
        <v>1.124051770561622</v>
      </c>
      <c r="F75" s="50"/>
      <c r="G75" s="50"/>
      <c r="H75" s="50"/>
      <c r="I75" s="50"/>
      <c r="J75" s="50"/>
      <c r="K75" s="93"/>
    </row>
    <row r="76" spans="1:11" ht="15.75" x14ac:dyDescent="0.25">
      <c r="A76" s="92"/>
      <c r="B76" s="55"/>
      <c r="C76" s="92" t="s">
        <v>312</v>
      </c>
      <c r="D76" s="50">
        <v>1.05</v>
      </c>
      <c r="E76" s="134">
        <f t="shared" si="0"/>
        <v>0.14517273789541243</v>
      </c>
      <c r="F76" s="50"/>
      <c r="G76" s="50"/>
      <c r="H76" s="50"/>
      <c r="I76" s="50"/>
      <c r="J76" s="50"/>
      <c r="K76" s="93"/>
    </row>
    <row r="77" spans="1:11" ht="15.75" x14ac:dyDescent="0.25">
      <c r="A77" s="92"/>
      <c r="B77" s="55"/>
      <c r="C77" s="92" t="s">
        <v>310</v>
      </c>
      <c r="D77" s="50">
        <v>3.33</v>
      </c>
      <c r="E77" s="134">
        <f t="shared" ref="E77:E142" si="17">+D77/$D$3*100</f>
        <v>0.46040496875402226</v>
      </c>
      <c r="F77" s="50"/>
      <c r="G77" s="50"/>
      <c r="H77" s="50"/>
      <c r="I77" s="50"/>
      <c r="J77" s="50"/>
      <c r="K77" s="93"/>
    </row>
    <row r="78" spans="1:11" ht="15.75" x14ac:dyDescent="0.25">
      <c r="A78" s="233" t="s">
        <v>608</v>
      </c>
      <c r="B78" s="234" t="s">
        <v>624</v>
      </c>
      <c r="C78" s="233"/>
      <c r="D78" s="235">
        <f>+D79</f>
        <v>2.93</v>
      </c>
      <c r="E78" s="235">
        <f t="shared" si="17"/>
        <v>0.40510106860338901</v>
      </c>
      <c r="F78" s="235"/>
      <c r="G78" s="235"/>
      <c r="H78" s="235"/>
      <c r="I78" s="235"/>
      <c r="J78" s="235"/>
      <c r="K78" s="236"/>
    </row>
    <row r="79" spans="1:11" ht="15.75" x14ac:dyDescent="0.25">
      <c r="A79" s="237">
        <v>1</v>
      </c>
      <c r="B79" s="238" t="s">
        <v>120</v>
      </c>
      <c r="C79" s="237"/>
      <c r="D79" s="239">
        <f>+D80+D81</f>
        <v>2.93</v>
      </c>
      <c r="E79" s="240">
        <f t="shared" si="17"/>
        <v>0.40510106860338901</v>
      </c>
      <c r="F79" s="239"/>
      <c r="G79" s="239"/>
      <c r="H79" s="239"/>
      <c r="I79" s="239"/>
      <c r="J79" s="239"/>
      <c r="K79" s="241"/>
    </row>
    <row r="80" spans="1:11" ht="15.75" x14ac:dyDescent="0.25">
      <c r="A80" s="92"/>
      <c r="B80" s="55"/>
      <c r="C80" s="92" t="s">
        <v>320</v>
      </c>
      <c r="D80" s="50">
        <v>2.29</v>
      </c>
      <c r="E80" s="134">
        <f t="shared" si="17"/>
        <v>0.3166148283623757</v>
      </c>
      <c r="F80" s="50"/>
      <c r="G80" s="50"/>
      <c r="H80" s="50"/>
      <c r="I80" s="50"/>
      <c r="J80" s="50"/>
      <c r="K80" s="93"/>
    </row>
    <row r="81" spans="1:11" ht="15.75" x14ac:dyDescent="0.25">
      <c r="A81" s="92"/>
      <c r="B81" s="55"/>
      <c r="C81" s="92" t="s">
        <v>318</v>
      </c>
      <c r="D81" s="50">
        <v>0.64</v>
      </c>
      <c r="E81" s="134">
        <f t="shared" si="17"/>
        <v>8.8486240241013286E-2</v>
      </c>
      <c r="F81" s="50"/>
      <c r="G81" s="50"/>
      <c r="H81" s="50"/>
      <c r="I81" s="50"/>
      <c r="J81" s="50"/>
      <c r="K81" s="93"/>
    </row>
    <row r="82" spans="1:11" ht="15.75" x14ac:dyDescent="0.25">
      <c r="A82" s="233" t="s">
        <v>623</v>
      </c>
      <c r="B82" s="234" t="s">
        <v>605</v>
      </c>
      <c r="C82" s="233"/>
      <c r="D82" s="235">
        <f>+D4-D5-D47-D78</f>
        <v>18.740891999999995</v>
      </c>
      <c r="E82" s="235">
        <f t="shared" si="17"/>
        <v>2.5911110497545056</v>
      </c>
      <c r="F82" s="235"/>
      <c r="G82" s="235"/>
      <c r="H82" s="235"/>
      <c r="I82" s="235"/>
      <c r="J82" s="235"/>
      <c r="K82" s="236"/>
    </row>
    <row r="83" spans="1:11" ht="15.75" x14ac:dyDescent="0.25">
      <c r="A83" s="227" t="s">
        <v>671</v>
      </c>
      <c r="B83" s="243" t="s">
        <v>585</v>
      </c>
      <c r="C83" s="227"/>
      <c r="D83" s="244">
        <f>1714536.51/10000</f>
        <v>171.45365100000001</v>
      </c>
      <c r="E83" s="232">
        <f t="shared" si="17"/>
        <v>23.705138988413825</v>
      </c>
      <c r="F83" s="244">
        <f>+G83*100/D83</f>
        <v>43.097312054323062</v>
      </c>
      <c r="G83" s="244">
        <f>+G84+G151</f>
        <v>73.891914999999997</v>
      </c>
      <c r="H83" s="244"/>
      <c r="I83" s="244"/>
      <c r="J83" s="244"/>
      <c r="K83" s="245">
        <f>+K85</f>
        <v>3621.9261129009665</v>
      </c>
    </row>
    <row r="84" spans="1:11" ht="15.75" x14ac:dyDescent="0.25">
      <c r="A84" s="233" t="s">
        <v>606</v>
      </c>
      <c r="B84" s="234" t="s">
        <v>594</v>
      </c>
      <c r="C84" s="246"/>
      <c r="D84" s="242">
        <f>+D85+D140+D142+D147</f>
        <v>114.35309999999998</v>
      </c>
      <c r="E84" s="235">
        <f t="shared" si="17"/>
        <v>15.810431060788463</v>
      </c>
      <c r="F84" s="242">
        <f>+G84*100/D84</f>
        <v>55.733578713650971</v>
      </c>
      <c r="G84" s="242">
        <f>+G85+G140+G142+G147</f>
        <v>63.733074999999999</v>
      </c>
      <c r="H84" s="242"/>
      <c r="I84" s="242"/>
      <c r="J84" s="242"/>
      <c r="K84" s="247"/>
    </row>
    <row r="85" spans="1:11" ht="15.75" x14ac:dyDescent="0.25">
      <c r="A85" s="237">
        <v>1</v>
      </c>
      <c r="B85" s="238" t="s">
        <v>593</v>
      </c>
      <c r="C85" s="237"/>
      <c r="D85" s="239">
        <f>+D86+D106+D125+D130+D136</f>
        <v>109.14229999999999</v>
      </c>
      <c r="E85" s="240">
        <f t="shared" si="17"/>
        <v>15.089987153526163</v>
      </c>
      <c r="F85" s="239">
        <f>+G85*100/D85</f>
        <v>56.48474972581667</v>
      </c>
      <c r="G85" s="239">
        <f>+G86+G106+G125+G130+G136</f>
        <v>61.648755000000001</v>
      </c>
      <c r="H85" s="239"/>
      <c r="I85" s="239"/>
      <c r="J85" s="239"/>
      <c r="K85" s="241">
        <f>+K86+K106</f>
        <v>3621.9261129009665</v>
      </c>
    </row>
    <row r="86" spans="1:11" ht="15.75" x14ac:dyDescent="0.25">
      <c r="A86" s="52">
        <v>1.1000000000000001</v>
      </c>
      <c r="B86" s="51" t="s">
        <v>89</v>
      </c>
      <c r="C86" s="52"/>
      <c r="D86" s="53">
        <f>+D87</f>
        <v>49.105000000000004</v>
      </c>
      <c r="E86" s="135">
        <f t="shared" si="17"/>
        <v>6.789245042242122</v>
      </c>
      <c r="F86" s="53">
        <v>60</v>
      </c>
      <c r="G86" s="53">
        <f>+D86*F86/100</f>
        <v>29.463000000000001</v>
      </c>
      <c r="H86" s="53">
        <f>+G86*J86</f>
        <v>206.24100000000001</v>
      </c>
      <c r="I86" s="53">
        <f>+H86/D86</f>
        <v>4.2</v>
      </c>
      <c r="J86" s="53">
        <v>7</v>
      </c>
      <c r="K86" s="65">
        <f>+N87+N89+N91+N93</f>
        <v>0</v>
      </c>
    </row>
    <row r="87" spans="1:11" ht="15.75" x14ac:dyDescent="0.25">
      <c r="A87" s="151" t="s">
        <v>707</v>
      </c>
      <c r="B87" s="212" t="s">
        <v>36</v>
      </c>
      <c r="C87" s="151"/>
      <c r="D87" s="214">
        <f>+SUM(D88:D105)</f>
        <v>49.105000000000004</v>
      </c>
      <c r="E87" s="213">
        <f t="shared" si="17"/>
        <v>6.789245042242122</v>
      </c>
      <c r="F87" s="214">
        <v>60</v>
      </c>
      <c r="G87" s="214">
        <f>+D87*F87/100</f>
        <v>29.463000000000001</v>
      </c>
      <c r="H87" s="214">
        <f>+G87*J87</f>
        <v>206.24100000000001</v>
      </c>
      <c r="I87" s="214">
        <f>+H87/D87</f>
        <v>4.2</v>
      </c>
      <c r="J87" s="214">
        <v>7</v>
      </c>
      <c r="K87" s="216"/>
    </row>
    <row r="88" spans="1:11" ht="15.75" x14ac:dyDescent="0.25">
      <c r="A88" s="92"/>
      <c r="B88" s="55"/>
      <c r="C88" s="92" t="s">
        <v>456</v>
      </c>
      <c r="D88" s="50">
        <v>3.6052</v>
      </c>
      <c r="E88" s="134">
        <f t="shared" si="17"/>
        <v>0.49845405205765803</v>
      </c>
      <c r="F88" s="50">
        <v>60</v>
      </c>
      <c r="G88" s="50">
        <f>+D88*F88/100</f>
        <v>2.1631200000000002</v>
      </c>
      <c r="H88" s="50">
        <f>+G88*J88</f>
        <v>15.141840000000002</v>
      </c>
      <c r="I88" s="50">
        <f>+H88/D88</f>
        <v>4.2</v>
      </c>
      <c r="J88" s="50">
        <v>7</v>
      </c>
      <c r="K88" s="93"/>
    </row>
    <row r="89" spans="1:11" ht="15.75" x14ac:dyDescent="0.25">
      <c r="A89" s="92"/>
      <c r="B89" s="55"/>
      <c r="C89" s="92" t="s">
        <v>452</v>
      </c>
      <c r="D89" s="50">
        <v>4.3901000000000003</v>
      </c>
      <c r="E89" s="134">
        <f t="shared" si="17"/>
        <v>0.60697413012823831</v>
      </c>
      <c r="F89" s="50">
        <v>60</v>
      </c>
      <c r="G89" s="50">
        <f t="shared" ref="G89:G105" si="18">+D89*F89/100</f>
        <v>2.6340599999999998</v>
      </c>
      <c r="H89" s="50">
        <f t="shared" ref="H89:H105" si="19">+G89*J89</f>
        <v>18.438420000000001</v>
      </c>
      <c r="I89" s="50">
        <f t="shared" ref="I89:I150" si="20">+H89/D89</f>
        <v>4.2</v>
      </c>
      <c r="J89" s="50">
        <v>7</v>
      </c>
      <c r="K89" s="93"/>
    </row>
    <row r="90" spans="1:11" ht="15.75" x14ac:dyDescent="0.25">
      <c r="A90" s="92"/>
      <c r="B90" s="55"/>
      <c r="C90" s="92" t="s">
        <v>454</v>
      </c>
      <c r="D90" s="50">
        <v>5.3308</v>
      </c>
      <c r="E90" s="134">
        <f t="shared" si="17"/>
        <v>0.73703507730749007</v>
      </c>
      <c r="F90" s="50">
        <v>60</v>
      </c>
      <c r="G90" s="50">
        <f t="shared" si="18"/>
        <v>3.19848</v>
      </c>
      <c r="H90" s="50">
        <f t="shared" si="19"/>
        <v>22.38936</v>
      </c>
      <c r="I90" s="50">
        <f t="shared" si="20"/>
        <v>4.2</v>
      </c>
      <c r="J90" s="50">
        <v>7</v>
      </c>
      <c r="K90" s="93"/>
    </row>
    <row r="91" spans="1:11" ht="15.75" x14ac:dyDescent="0.25">
      <c r="A91" s="92"/>
      <c r="B91" s="55"/>
      <c r="C91" s="92" t="s">
        <v>450</v>
      </c>
      <c r="D91" s="50">
        <v>3.3336999999999999</v>
      </c>
      <c r="E91" s="134">
        <f t="shared" si="17"/>
        <v>0.46091652983041559</v>
      </c>
      <c r="F91" s="50">
        <v>60</v>
      </c>
      <c r="G91" s="50">
        <f t="shared" si="18"/>
        <v>2.0002200000000001</v>
      </c>
      <c r="H91" s="50">
        <f t="shared" si="19"/>
        <v>14.00154</v>
      </c>
      <c r="I91" s="50">
        <f t="shared" si="20"/>
        <v>4.2</v>
      </c>
      <c r="J91" s="50">
        <v>7</v>
      </c>
      <c r="K91" s="93"/>
    </row>
    <row r="92" spans="1:11" ht="15.75" x14ac:dyDescent="0.25">
      <c r="A92" s="92"/>
      <c r="B92" s="55"/>
      <c r="C92" s="92" t="s">
        <v>448</v>
      </c>
      <c r="D92" s="50">
        <v>1.2763</v>
      </c>
      <c r="E92" s="134">
        <f t="shared" si="17"/>
        <v>0.17646091940563324</v>
      </c>
      <c r="F92" s="50">
        <v>60</v>
      </c>
      <c r="G92" s="50">
        <f t="shared" si="18"/>
        <v>0.76578000000000002</v>
      </c>
      <c r="H92" s="50">
        <f t="shared" si="19"/>
        <v>5.3604599999999998</v>
      </c>
      <c r="I92" s="50">
        <f t="shared" si="20"/>
        <v>4.2</v>
      </c>
      <c r="J92" s="50">
        <v>7</v>
      </c>
      <c r="K92" s="93"/>
    </row>
    <row r="93" spans="1:11" ht="15.75" x14ac:dyDescent="0.25">
      <c r="A93" s="92"/>
      <c r="B93" s="55"/>
      <c r="C93" s="92" t="s">
        <v>444</v>
      </c>
      <c r="D93" s="50">
        <v>0.43130000000000002</v>
      </c>
      <c r="E93" s="134">
        <f t="shared" si="17"/>
        <v>5.9631430337420362E-2</v>
      </c>
      <c r="F93" s="50">
        <v>60</v>
      </c>
      <c r="G93" s="50">
        <f t="shared" si="18"/>
        <v>0.25878000000000001</v>
      </c>
      <c r="H93" s="50">
        <f t="shared" si="19"/>
        <v>1.8114600000000001</v>
      </c>
      <c r="I93" s="50">
        <f t="shared" si="20"/>
        <v>4.2</v>
      </c>
      <c r="J93" s="50">
        <v>7</v>
      </c>
      <c r="K93" s="93"/>
    </row>
    <row r="94" spans="1:11" ht="15.75" x14ac:dyDescent="0.25">
      <c r="A94" s="92"/>
      <c r="B94" s="55"/>
      <c r="C94" s="92" t="s">
        <v>586</v>
      </c>
      <c r="D94" s="50">
        <v>3.0992000000000002</v>
      </c>
      <c r="E94" s="134">
        <f t="shared" si="17"/>
        <v>0.42849461836710689</v>
      </c>
      <c r="F94" s="50">
        <v>60</v>
      </c>
      <c r="G94" s="50">
        <f t="shared" si="18"/>
        <v>1.8595200000000001</v>
      </c>
      <c r="H94" s="50">
        <f t="shared" si="19"/>
        <v>13.016640000000001</v>
      </c>
      <c r="I94" s="50">
        <f t="shared" si="20"/>
        <v>4.2</v>
      </c>
      <c r="J94" s="50">
        <v>7</v>
      </c>
      <c r="K94" s="93"/>
    </row>
    <row r="95" spans="1:11" ht="15.75" x14ac:dyDescent="0.25">
      <c r="A95" s="92"/>
      <c r="B95" s="55"/>
      <c r="C95" s="92" t="s">
        <v>587</v>
      </c>
      <c r="D95" s="50">
        <v>1.42</v>
      </c>
      <c r="E95" s="134">
        <f t="shared" si="17"/>
        <v>0.19632884553474825</v>
      </c>
      <c r="F95" s="50">
        <v>60</v>
      </c>
      <c r="G95" s="50">
        <f t="shared" si="18"/>
        <v>0.85199999999999987</v>
      </c>
      <c r="H95" s="50">
        <f t="shared" si="19"/>
        <v>5.9639999999999986</v>
      </c>
      <c r="I95" s="50">
        <f t="shared" si="20"/>
        <v>4.1999999999999993</v>
      </c>
      <c r="J95" s="50">
        <v>7</v>
      </c>
      <c r="K95" s="93"/>
    </row>
    <row r="96" spans="1:11" ht="15.75" x14ac:dyDescent="0.25">
      <c r="A96" s="92"/>
      <c r="B96" s="55"/>
      <c r="C96" s="92" t="s">
        <v>588</v>
      </c>
      <c r="D96" s="50">
        <v>3.85</v>
      </c>
      <c r="E96" s="134">
        <f t="shared" si="17"/>
        <v>0.53230003894984557</v>
      </c>
      <c r="F96" s="50">
        <v>60</v>
      </c>
      <c r="G96" s="50">
        <f t="shared" si="18"/>
        <v>2.31</v>
      </c>
      <c r="H96" s="50">
        <f t="shared" si="19"/>
        <v>16.170000000000002</v>
      </c>
      <c r="I96" s="50">
        <f t="shared" si="20"/>
        <v>4.2</v>
      </c>
      <c r="J96" s="50">
        <v>7</v>
      </c>
      <c r="K96" s="93"/>
    </row>
    <row r="97" spans="1:11" ht="15.75" x14ac:dyDescent="0.25">
      <c r="A97" s="92"/>
      <c r="B97" s="55"/>
      <c r="C97" s="92" t="s">
        <v>589</v>
      </c>
      <c r="D97" s="50">
        <v>3.2326000000000001</v>
      </c>
      <c r="E97" s="134">
        <f t="shared" si="17"/>
        <v>0.44693846906734308</v>
      </c>
      <c r="F97" s="50">
        <v>60</v>
      </c>
      <c r="G97" s="50">
        <f t="shared" si="18"/>
        <v>1.9395600000000002</v>
      </c>
      <c r="H97" s="50">
        <f t="shared" si="19"/>
        <v>13.576920000000001</v>
      </c>
      <c r="I97" s="50">
        <f t="shared" si="20"/>
        <v>4.2</v>
      </c>
      <c r="J97" s="50">
        <v>7</v>
      </c>
      <c r="K97" s="93"/>
    </row>
    <row r="98" spans="1:11" ht="15.75" x14ac:dyDescent="0.25">
      <c r="A98" s="92"/>
      <c r="B98" s="55"/>
      <c r="C98" s="92" t="s">
        <v>590</v>
      </c>
      <c r="D98" s="50">
        <v>5.91</v>
      </c>
      <c r="E98" s="134">
        <f t="shared" si="17"/>
        <v>0.8171151247256071</v>
      </c>
      <c r="F98" s="50">
        <v>60</v>
      </c>
      <c r="G98" s="50">
        <f t="shared" si="18"/>
        <v>3.5460000000000003</v>
      </c>
      <c r="H98" s="50">
        <f t="shared" si="19"/>
        <v>24.822000000000003</v>
      </c>
      <c r="I98" s="50">
        <f t="shared" si="20"/>
        <v>4.2</v>
      </c>
      <c r="J98" s="50">
        <v>7</v>
      </c>
      <c r="K98" s="93"/>
    </row>
    <row r="99" spans="1:11" ht="15.75" x14ac:dyDescent="0.25">
      <c r="A99" s="92"/>
      <c r="B99" s="55"/>
      <c r="C99" s="92" t="s">
        <v>591</v>
      </c>
      <c r="D99" s="50">
        <v>2.1269</v>
      </c>
      <c r="E99" s="134">
        <f t="shared" si="17"/>
        <v>0.29406466307595497</v>
      </c>
      <c r="F99" s="50">
        <v>60</v>
      </c>
      <c r="G99" s="50">
        <f t="shared" si="18"/>
        <v>1.2761400000000001</v>
      </c>
      <c r="H99" s="50">
        <f t="shared" si="19"/>
        <v>8.9329800000000006</v>
      </c>
      <c r="I99" s="50">
        <f t="shared" si="20"/>
        <v>4.2</v>
      </c>
      <c r="J99" s="50">
        <v>7</v>
      </c>
      <c r="K99" s="93"/>
    </row>
    <row r="100" spans="1:11" ht="15.75" x14ac:dyDescent="0.25">
      <c r="A100" s="92"/>
      <c r="B100" s="55"/>
      <c r="C100" s="92" t="s">
        <v>446</v>
      </c>
      <c r="D100" s="50">
        <v>1.7976000000000001</v>
      </c>
      <c r="E100" s="134">
        <f t="shared" si="17"/>
        <v>0.24853572727694609</v>
      </c>
      <c r="F100" s="50">
        <v>60</v>
      </c>
      <c r="G100" s="50">
        <f t="shared" si="18"/>
        <v>1.0785600000000002</v>
      </c>
      <c r="H100" s="50">
        <f t="shared" si="19"/>
        <v>7.5499200000000011</v>
      </c>
      <c r="I100" s="50">
        <f t="shared" si="20"/>
        <v>4.2</v>
      </c>
      <c r="J100" s="50">
        <v>7</v>
      </c>
      <c r="K100" s="93"/>
    </row>
    <row r="101" spans="1:11" ht="15.75" x14ac:dyDescent="0.25">
      <c r="A101" s="92"/>
      <c r="B101" s="55"/>
      <c r="C101" s="92" t="s">
        <v>442</v>
      </c>
      <c r="D101" s="50">
        <v>2.3022</v>
      </c>
      <c r="E101" s="134">
        <f t="shared" si="17"/>
        <v>0.31830159731697</v>
      </c>
      <c r="F101" s="50">
        <v>60</v>
      </c>
      <c r="G101" s="50">
        <f t="shared" si="18"/>
        <v>1.3813200000000001</v>
      </c>
      <c r="H101" s="50">
        <f t="shared" si="19"/>
        <v>9.6692400000000003</v>
      </c>
      <c r="I101" s="50">
        <f t="shared" si="20"/>
        <v>4.2</v>
      </c>
      <c r="J101" s="50">
        <v>7</v>
      </c>
      <c r="K101" s="93"/>
    </row>
    <row r="102" spans="1:11" ht="15.75" x14ac:dyDescent="0.25">
      <c r="A102" s="92"/>
      <c r="B102" s="55"/>
      <c r="C102" s="92" t="s">
        <v>440</v>
      </c>
      <c r="D102" s="50">
        <v>1.5085</v>
      </c>
      <c r="E102" s="134">
        <f t="shared" si="17"/>
        <v>0.20856483344307586</v>
      </c>
      <c r="F102" s="50">
        <v>60</v>
      </c>
      <c r="G102" s="50">
        <f t="shared" si="18"/>
        <v>0.9050999999999999</v>
      </c>
      <c r="H102" s="50">
        <f t="shared" si="19"/>
        <v>6.3356999999999992</v>
      </c>
      <c r="I102" s="50">
        <f t="shared" si="20"/>
        <v>4.1999999999999993</v>
      </c>
      <c r="J102" s="50">
        <v>7</v>
      </c>
      <c r="K102" s="93"/>
    </row>
    <row r="103" spans="1:11" ht="15.75" x14ac:dyDescent="0.25">
      <c r="A103" s="92"/>
      <c r="B103" s="55"/>
      <c r="C103" s="92" t="s">
        <v>438</v>
      </c>
      <c r="D103" s="50">
        <v>0.30759999999999998</v>
      </c>
      <c r="E103" s="134">
        <f t="shared" si="17"/>
        <v>4.2528699215837011E-2</v>
      </c>
      <c r="F103" s="50">
        <v>60</v>
      </c>
      <c r="G103" s="50">
        <f t="shared" si="18"/>
        <v>0.18456</v>
      </c>
      <c r="H103" s="50">
        <f t="shared" si="19"/>
        <v>1.29192</v>
      </c>
      <c r="I103" s="50">
        <f t="shared" si="20"/>
        <v>4.2</v>
      </c>
      <c r="J103" s="50">
        <v>7</v>
      </c>
      <c r="K103" s="93"/>
    </row>
    <row r="104" spans="1:11" ht="15.75" x14ac:dyDescent="0.25">
      <c r="A104" s="92"/>
      <c r="B104" s="55"/>
      <c r="C104" s="92" t="s">
        <v>436</v>
      </c>
      <c r="D104" s="50">
        <v>1.6666000000000001</v>
      </c>
      <c r="E104" s="134">
        <f t="shared" si="17"/>
        <v>0.23042369997761367</v>
      </c>
      <c r="F104" s="50">
        <v>60</v>
      </c>
      <c r="G104" s="50">
        <f t="shared" si="18"/>
        <v>0.99996000000000007</v>
      </c>
      <c r="H104" s="50">
        <f t="shared" si="19"/>
        <v>6.9997200000000008</v>
      </c>
      <c r="I104" s="50">
        <f t="shared" si="20"/>
        <v>4.2</v>
      </c>
      <c r="J104" s="50">
        <v>7</v>
      </c>
      <c r="K104" s="93"/>
    </row>
    <row r="105" spans="1:11" ht="15.75" x14ac:dyDescent="0.25">
      <c r="A105" s="92"/>
      <c r="B105" s="55"/>
      <c r="C105" s="92" t="s">
        <v>434</v>
      </c>
      <c r="D105" s="50">
        <v>3.5164</v>
      </c>
      <c r="E105" s="134">
        <f t="shared" si="17"/>
        <v>0.48617658622421739</v>
      </c>
      <c r="F105" s="50">
        <v>60</v>
      </c>
      <c r="G105" s="50">
        <f t="shared" si="18"/>
        <v>2.1098400000000002</v>
      </c>
      <c r="H105" s="50">
        <f t="shared" si="19"/>
        <v>14.768880000000001</v>
      </c>
      <c r="I105" s="50">
        <f t="shared" si="20"/>
        <v>4.2</v>
      </c>
      <c r="J105" s="50">
        <v>7</v>
      </c>
      <c r="K105" s="93"/>
    </row>
    <row r="106" spans="1:11" ht="15.75" x14ac:dyDescent="0.25">
      <c r="A106" s="52">
        <v>1.2</v>
      </c>
      <c r="B106" s="51" t="s">
        <v>90</v>
      </c>
      <c r="C106" s="52"/>
      <c r="D106" s="53">
        <f>+SUM(D107:D124)</f>
        <v>49.389800000000001</v>
      </c>
      <c r="E106" s="135">
        <f t="shared" si="17"/>
        <v>6.8286214191493722</v>
      </c>
      <c r="F106" s="53">
        <f>+F107</f>
        <v>60</v>
      </c>
      <c r="G106" s="53">
        <f>+D106*F106/100</f>
        <v>29.633879999999998</v>
      </c>
      <c r="H106" s="53">
        <f>G106*J106</f>
        <v>207.43715999999998</v>
      </c>
      <c r="I106" s="53">
        <f t="shared" si="20"/>
        <v>4.1999999999999993</v>
      </c>
      <c r="J106" s="53">
        <v>7</v>
      </c>
      <c r="K106" s="65">
        <v>3621.9261129009665</v>
      </c>
    </row>
    <row r="107" spans="1:11" ht="15.75" x14ac:dyDescent="0.25">
      <c r="A107" s="92"/>
      <c r="B107" s="55"/>
      <c r="C107" s="92" t="s">
        <v>552</v>
      </c>
      <c r="D107" s="50">
        <v>0.52290000000000003</v>
      </c>
      <c r="E107" s="134">
        <f t="shared" si="17"/>
        <v>7.2296023471915397E-2</v>
      </c>
      <c r="F107" s="50">
        <v>60</v>
      </c>
      <c r="G107" s="50">
        <f>+D107*F107/100</f>
        <v>0.31374000000000002</v>
      </c>
      <c r="H107" s="50">
        <f>+G107*J107</f>
        <v>2.19618</v>
      </c>
      <c r="I107" s="50">
        <f t="shared" si="20"/>
        <v>4.2</v>
      </c>
      <c r="J107" s="50">
        <v>7</v>
      </c>
      <c r="K107" s="93"/>
    </row>
    <row r="108" spans="1:11" ht="15.75" x14ac:dyDescent="0.25">
      <c r="A108" s="92"/>
      <c r="B108" s="55"/>
      <c r="C108" s="92" t="s">
        <v>550</v>
      </c>
      <c r="D108" s="50">
        <v>1.1638999999999999</v>
      </c>
      <c r="E108" s="134">
        <f t="shared" si="17"/>
        <v>0.16092052346330527</v>
      </c>
      <c r="F108" s="50">
        <v>60</v>
      </c>
      <c r="G108" s="50">
        <f t="shared" ref="G108:G135" si="21">+D108*F108/100</f>
        <v>0.69834000000000007</v>
      </c>
      <c r="H108" s="50">
        <f t="shared" ref="H108:H129" si="22">+G108*J108</f>
        <v>4.8883800000000006</v>
      </c>
      <c r="I108" s="50">
        <f t="shared" si="20"/>
        <v>4.2000000000000011</v>
      </c>
      <c r="J108" s="50">
        <v>7</v>
      </c>
      <c r="K108" s="93"/>
    </row>
    <row r="109" spans="1:11" ht="15.75" x14ac:dyDescent="0.25">
      <c r="A109" s="92"/>
      <c r="B109" s="55"/>
      <c r="C109" s="92" t="s">
        <v>548</v>
      </c>
      <c r="D109" s="50">
        <v>5.16</v>
      </c>
      <c r="E109" s="134">
        <f t="shared" si="17"/>
        <v>0.71342031194316968</v>
      </c>
      <c r="F109" s="50">
        <v>60</v>
      </c>
      <c r="G109" s="50">
        <f t="shared" si="21"/>
        <v>3.0960000000000001</v>
      </c>
      <c r="H109" s="50">
        <f t="shared" si="22"/>
        <v>21.672000000000001</v>
      </c>
      <c r="I109" s="50">
        <f t="shared" si="20"/>
        <v>4.2</v>
      </c>
      <c r="J109" s="50">
        <v>7</v>
      </c>
      <c r="K109" s="93"/>
    </row>
    <row r="110" spans="1:11" ht="15.75" x14ac:dyDescent="0.25">
      <c r="A110" s="92"/>
      <c r="B110" s="55"/>
      <c r="C110" s="92" t="s">
        <v>546</v>
      </c>
      <c r="D110" s="50">
        <v>5.73</v>
      </c>
      <c r="E110" s="134">
        <f t="shared" si="17"/>
        <v>0.79222836965782206</v>
      </c>
      <c r="F110" s="50">
        <v>60</v>
      </c>
      <c r="G110" s="50">
        <f t="shared" si="21"/>
        <v>3.4380000000000002</v>
      </c>
      <c r="H110" s="50">
        <f t="shared" si="22"/>
        <v>24.066000000000003</v>
      </c>
      <c r="I110" s="50">
        <f t="shared" si="20"/>
        <v>4.2</v>
      </c>
      <c r="J110" s="50">
        <v>7</v>
      </c>
      <c r="K110" s="93"/>
    </row>
    <row r="111" spans="1:11" ht="15.75" x14ac:dyDescent="0.25">
      <c r="A111" s="92"/>
      <c r="B111" s="55"/>
      <c r="C111" s="92" t="s">
        <v>544</v>
      </c>
      <c r="D111" s="50">
        <v>2.0718999999999999</v>
      </c>
      <c r="E111" s="134">
        <f t="shared" si="17"/>
        <v>0.28646037680524283</v>
      </c>
      <c r="F111" s="50">
        <v>60</v>
      </c>
      <c r="G111" s="50">
        <f t="shared" si="21"/>
        <v>1.2431399999999999</v>
      </c>
      <c r="H111" s="50">
        <f t="shared" si="22"/>
        <v>8.7019799999999989</v>
      </c>
      <c r="I111" s="50">
        <f t="shared" si="20"/>
        <v>4.2</v>
      </c>
      <c r="J111" s="50">
        <v>7</v>
      </c>
      <c r="K111" s="93"/>
    </row>
    <row r="112" spans="1:11" ht="15.75" x14ac:dyDescent="0.25">
      <c r="A112" s="92"/>
      <c r="B112" s="55"/>
      <c r="C112" s="92" t="s">
        <v>542</v>
      </c>
      <c r="D112" s="50">
        <v>2.4916</v>
      </c>
      <c r="E112" s="134">
        <f t="shared" si="17"/>
        <v>0.34448799403829489</v>
      </c>
      <c r="F112" s="50">
        <v>60</v>
      </c>
      <c r="G112" s="50">
        <f t="shared" si="21"/>
        <v>1.4949600000000001</v>
      </c>
      <c r="H112" s="50">
        <f t="shared" si="22"/>
        <v>10.46472</v>
      </c>
      <c r="I112" s="50">
        <f t="shared" si="20"/>
        <v>4.2</v>
      </c>
      <c r="J112" s="50">
        <v>7</v>
      </c>
      <c r="K112" s="93"/>
    </row>
    <row r="113" spans="1:11" ht="15.75" x14ac:dyDescent="0.25">
      <c r="A113" s="92"/>
      <c r="B113" s="55"/>
      <c r="C113" s="92" t="s">
        <v>540</v>
      </c>
      <c r="D113" s="50">
        <v>11.106400000000001</v>
      </c>
      <c r="E113" s="134">
        <f t="shared" si="17"/>
        <v>1.5355680915824845</v>
      </c>
      <c r="F113" s="50">
        <v>60</v>
      </c>
      <c r="G113" s="50">
        <f t="shared" si="21"/>
        <v>6.6638400000000004</v>
      </c>
      <c r="H113" s="50">
        <f t="shared" si="22"/>
        <v>46.646880000000003</v>
      </c>
      <c r="I113" s="50">
        <f t="shared" si="20"/>
        <v>4.2</v>
      </c>
      <c r="J113" s="50">
        <v>7</v>
      </c>
      <c r="K113" s="93"/>
    </row>
    <row r="114" spans="1:11" ht="15.75" x14ac:dyDescent="0.25">
      <c r="A114" s="92"/>
      <c r="B114" s="55"/>
      <c r="C114" s="92" t="s">
        <v>538</v>
      </c>
      <c r="D114" s="50">
        <v>0.84489999999999998</v>
      </c>
      <c r="E114" s="134">
        <f t="shared" si="17"/>
        <v>0.1168156630931752</v>
      </c>
      <c r="F114" s="50">
        <v>60</v>
      </c>
      <c r="G114" s="50">
        <f t="shared" si="21"/>
        <v>0.50694000000000006</v>
      </c>
      <c r="H114" s="50">
        <f t="shared" si="22"/>
        <v>3.5485800000000003</v>
      </c>
      <c r="I114" s="50">
        <f t="shared" si="20"/>
        <v>4.2</v>
      </c>
      <c r="J114" s="50">
        <v>7</v>
      </c>
      <c r="K114" s="93"/>
    </row>
    <row r="115" spans="1:11" ht="15.75" x14ac:dyDescent="0.25">
      <c r="A115" s="92"/>
      <c r="B115" s="55"/>
      <c r="C115" s="92" t="s">
        <v>536</v>
      </c>
      <c r="D115" s="50">
        <v>7.81</v>
      </c>
      <c r="E115" s="134">
        <f t="shared" si="17"/>
        <v>1.0798086504411153</v>
      </c>
      <c r="F115" s="50">
        <v>60</v>
      </c>
      <c r="G115" s="50">
        <f t="shared" si="21"/>
        <v>4.6859999999999999</v>
      </c>
      <c r="H115" s="50">
        <f t="shared" si="22"/>
        <v>32.802</v>
      </c>
      <c r="I115" s="50">
        <f t="shared" si="20"/>
        <v>4.2</v>
      </c>
      <c r="J115" s="50">
        <v>7</v>
      </c>
      <c r="K115" s="93"/>
    </row>
    <row r="116" spans="1:11" ht="15.75" x14ac:dyDescent="0.25">
      <c r="A116" s="92"/>
      <c r="B116" s="55"/>
      <c r="C116" s="92" t="s">
        <v>534</v>
      </c>
      <c r="D116" s="50">
        <v>0.36459999999999998</v>
      </c>
      <c r="E116" s="134">
        <f t="shared" si="17"/>
        <v>5.0409504987302255E-2</v>
      </c>
      <c r="F116" s="50">
        <v>60</v>
      </c>
      <c r="G116" s="50">
        <f t="shared" si="21"/>
        <v>0.21875999999999998</v>
      </c>
      <c r="H116" s="50">
        <f t="shared" si="22"/>
        <v>1.5313199999999998</v>
      </c>
      <c r="I116" s="50">
        <f t="shared" si="20"/>
        <v>4.1999999999999993</v>
      </c>
      <c r="J116" s="50">
        <v>7</v>
      </c>
      <c r="K116" s="93"/>
    </row>
    <row r="117" spans="1:11" ht="15.75" x14ac:dyDescent="0.25">
      <c r="A117" s="92"/>
      <c r="B117" s="55"/>
      <c r="C117" s="92" t="s">
        <v>530</v>
      </c>
      <c r="D117" s="50">
        <v>0.97219999999999995</v>
      </c>
      <c r="E117" s="134">
        <f t="shared" si="17"/>
        <v>0.13441612931611424</v>
      </c>
      <c r="F117" s="50">
        <v>60</v>
      </c>
      <c r="G117" s="50">
        <f t="shared" si="21"/>
        <v>0.58331999999999995</v>
      </c>
      <c r="H117" s="50">
        <f t="shared" si="22"/>
        <v>4.08324</v>
      </c>
      <c r="I117" s="50">
        <f t="shared" si="20"/>
        <v>4.2</v>
      </c>
      <c r="J117" s="50">
        <v>7</v>
      </c>
      <c r="K117" s="93"/>
    </row>
    <row r="118" spans="1:11" ht="15.75" x14ac:dyDescent="0.25">
      <c r="A118" s="92"/>
      <c r="B118" s="55"/>
      <c r="C118" s="92" t="s">
        <v>532</v>
      </c>
      <c r="D118" s="50">
        <v>0.15820000000000001</v>
      </c>
      <c r="E118" s="134">
        <f t="shared" si="17"/>
        <v>2.1872692509575471E-2</v>
      </c>
      <c r="F118" s="50">
        <v>60</v>
      </c>
      <c r="G118" s="50">
        <f t="shared" si="21"/>
        <v>9.4920000000000004E-2</v>
      </c>
      <c r="H118" s="50">
        <f t="shared" si="22"/>
        <v>0.66444000000000003</v>
      </c>
      <c r="I118" s="50">
        <f t="shared" si="20"/>
        <v>4.2</v>
      </c>
      <c r="J118" s="50">
        <v>7</v>
      </c>
      <c r="K118" s="93"/>
    </row>
    <row r="119" spans="1:11" ht="15.75" x14ac:dyDescent="0.25">
      <c r="A119" s="92"/>
      <c r="B119" s="55"/>
      <c r="C119" s="92" t="s">
        <v>528</v>
      </c>
      <c r="D119" s="50">
        <v>0.50080000000000002</v>
      </c>
      <c r="E119" s="134">
        <f t="shared" si="17"/>
        <v>6.9240482988592908E-2</v>
      </c>
      <c r="F119" s="50">
        <v>60</v>
      </c>
      <c r="G119" s="50">
        <f t="shared" si="21"/>
        <v>0.30048000000000002</v>
      </c>
      <c r="H119" s="50">
        <f t="shared" si="22"/>
        <v>2.1033600000000003</v>
      </c>
      <c r="I119" s="50">
        <f t="shared" si="20"/>
        <v>4.2</v>
      </c>
      <c r="J119" s="50">
        <v>7</v>
      </c>
      <c r="K119" s="93"/>
    </row>
    <row r="120" spans="1:11" ht="15.75" x14ac:dyDescent="0.25">
      <c r="A120" s="92"/>
      <c r="B120" s="55"/>
      <c r="C120" s="92" t="s">
        <v>520</v>
      </c>
      <c r="D120" s="50">
        <v>4.8924000000000003</v>
      </c>
      <c r="E120" s="134">
        <f t="shared" si="17"/>
        <v>0.67642200274239606</v>
      </c>
      <c r="F120" s="50">
        <v>60</v>
      </c>
      <c r="G120" s="50">
        <f t="shared" si="21"/>
        <v>2.9354400000000003</v>
      </c>
      <c r="H120" s="50">
        <f t="shared" si="22"/>
        <v>20.548080000000002</v>
      </c>
      <c r="I120" s="50">
        <f t="shared" si="20"/>
        <v>4.2</v>
      </c>
      <c r="J120" s="50">
        <v>7</v>
      </c>
      <c r="K120" s="93"/>
    </row>
    <row r="121" spans="1:11" ht="15.75" x14ac:dyDescent="0.25">
      <c r="A121" s="92"/>
      <c r="B121" s="55"/>
      <c r="C121" s="92" t="s">
        <v>522</v>
      </c>
      <c r="D121" s="50">
        <v>0.76</v>
      </c>
      <c r="E121" s="134">
        <f t="shared" si="17"/>
        <v>0.10507741028620329</v>
      </c>
      <c r="F121" s="50">
        <v>60</v>
      </c>
      <c r="G121" s="50">
        <f t="shared" si="21"/>
        <v>0.45600000000000002</v>
      </c>
      <c r="H121" s="50">
        <f t="shared" si="22"/>
        <v>3.1920000000000002</v>
      </c>
      <c r="I121" s="50">
        <f t="shared" si="20"/>
        <v>4.2</v>
      </c>
      <c r="J121" s="50">
        <v>7</v>
      </c>
      <c r="K121" s="93"/>
    </row>
    <row r="122" spans="1:11" ht="15.75" x14ac:dyDescent="0.25">
      <c r="A122" s="92"/>
      <c r="B122" s="55"/>
      <c r="C122" s="92" t="s">
        <v>524</v>
      </c>
      <c r="D122" s="50">
        <v>1.94</v>
      </c>
      <c r="E122" s="134">
        <f t="shared" si="17"/>
        <v>0.26822391573057153</v>
      </c>
      <c r="F122" s="50">
        <v>60</v>
      </c>
      <c r="G122" s="50">
        <f t="shared" si="21"/>
        <v>1.1639999999999999</v>
      </c>
      <c r="H122" s="50">
        <f t="shared" si="22"/>
        <v>8.1479999999999997</v>
      </c>
      <c r="I122" s="50">
        <f t="shared" si="20"/>
        <v>4.2</v>
      </c>
      <c r="J122" s="50">
        <v>7</v>
      </c>
      <c r="K122" s="93"/>
    </row>
    <row r="123" spans="1:11" ht="15.75" x14ac:dyDescent="0.25">
      <c r="A123" s="92"/>
      <c r="B123" s="55"/>
      <c r="C123" s="92" t="s">
        <v>526</v>
      </c>
      <c r="D123" s="50">
        <v>1.46</v>
      </c>
      <c r="E123" s="134">
        <f t="shared" si="17"/>
        <v>0.20185923554981158</v>
      </c>
      <c r="F123" s="50">
        <v>60</v>
      </c>
      <c r="G123" s="50">
        <f t="shared" si="21"/>
        <v>0.87599999999999989</v>
      </c>
      <c r="H123" s="50">
        <f t="shared" si="22"/>
        <v>6.1319999999999997</v>
      </c>
      <c r="I123" s="50">
        <f t="shared" si="20"/>
        <v>4.2</v>
      </c>
      <c r="J123" s="50">
        <v>7</v>
      </c>
      <c r="K123" s="93"/>
    </row>
    <row r="124" spans="1:11" ht="15.75" x14ac:dyDescent="0.25">
      <c r="A124" s="92"/>
      <c r="B124" s="55"/>
      <c r="C124" s="92" t="s">
        <v>597</v>
      </c>
      <c r="D124" s="50">
        <v>1.44</v>
      </c>
      <c r="E124" s="134">
        <f t="shared" si="17"/>
        <v>0.19909404054227992</v>
      </c>
      <c r="F124" s="50">
        <v>60</v>
      </c>
      <c r="G124" s="50">
        <f t="shared" si="21"/>
        <v>0.86399999999999988</v>
      </c>
      <c r="H124" s="50">
        <f t="shared" si="22"/>
        <v>6.0479999999999992</v>
      </c>
      <c r="I124" s="50">
        <f t="shared" si="20"/>
        <v>4.1999999999999993</v>
      </c>
      <c r="J124" s="50">
        <v>7</v>
      </c>
      <c r="K124" s="93"/>
    </row>
    <row r="125" spans="1:11" ht="15.75" x14ac:dyDescent="0.25">
      <c r="A125" s="52">
        <v>1.3</v>
      </c>
      <c r="B125" s="51" t="s">
        <v>119</v>
      </c>
      <c r="C125" s="52"/>
      <c r="D125" s="53">
        <f>+SUM(D126:D129)</f>
        <v>4.8774999999999995</v>
      </c>
      <c r="E125" s="135">
        <f t="shared" si="17"/>
        <v>0.67436193246178489</v>
      </c>
      <c r="F125" s="53">
        <v>5</v>
      </c>
      <c r="G125" s="53">
        <f t="shared" si="21"/>
        <v>0.24387499999999995</v>
      </c>
      <c r="H125" s="53">
        <f t="shared" si="22"/>
        <v>0.24387499999999995</v>
      </c>
      <c r="I125" s="53">
        <f t="shared" si="20"/>
        <v>4.9999999999999996E-2</v>
      </c>
      <c r="J125" s="53">
        <v>1</v>
      </c>
      <c r="K125" s="65"/>
    </row>
    <row r="126" spans="1:11" ht="15.75" x14ac:dyDescent="0.25">
      <c r="A126" s="92"/>
      <c r="B126" s="55"/>
      <c r="C126" s="92" t="s">
        <v>270</v>
      </c>
      <c r="D126" s="50">
        <v>0.61570000000000003</v>
      </c>
      <c r="E126" s="134">
        <f t="shared" si="17"/>
        <v>8.512652830686232E-2</v>
      </c>
      <c r="F126" s="50">
        <v>5</v>
      </c>
      <c r="G126" s="50">
        <f t="shared" si="21"/>
        <v>3.0785E-2</v>
      </c>
      <c r="H126" s="50">
        <f t="shared" si="22"/>
        <v>3.0785E-2</v>
      </c>
      <c r="I126" s="50">
        <f t="shared" si="20"/>
        <v>4.9999999999999996E-2</v>
      </c>
      <c r="J126" s="50">
        <v>1</v>
      </c>
      <c r="K126" s="93"/>
    </row>
    <row r="127" spans="1:11" ht="15.75" x14ac:dyDescent="0.25">
      <c r="A127" s="92"/>
      <c r="B127" s="55"/>
      <c r="C127" s="92" t="s">
        <v>226</v>
      </c>
      <c r="D127" s="50">
        <v>1.0629999999999999</v>
      </c>
      <c r="E127" s="134">
        <f t="shared" si="17"/>
        <v>0.14697011465030799</v>
      </c>
      <c r="F127" s="50">
        <v>5</v>
      </c>
      <c r="G127" s="50">
        <f t="shared" si="21"/>
        <v>5.3149999999999996E-2</v>
      </c>
      <c r="H127" s="50">
        <f t="shared" si="22"/>
        <v>5.3149999999999996E-2</v>
      </c>
      <c r="I127" s="50">
        <f t="shared" si="20"/>
        <v>4.9999999999999996E-2</v>
      </c>
      <c r="J127" s="50">
        <v>1</v>
      </c>
      <c r="K127" s="93"/>
    </row>
    <row r="128" spans="1:11" ht="15.75" x14ac:dyDescent="0.25">
      <c r="A128" s="92"/>
      <c r="B128" s="55"/>
      <c r="C128" s="92" t="s">
        <v>266</v>
      </c>
      <c r="D128" s="50">
        <v>3.0348000000000002</v>
      </c>
      <c r="E128" s="134">
        <f t="shared" si="17"/>
        <v>0.41959069044285496</v>
      </c>
      <c r="F128" s="50">
        <v>5</v>
      </c>
      <c r="G128" s="50">
        <f t="shared" si="21"/>
        <v>0.15174000000000001</v>
      </c>
      <c r="H128" s="50">
        <f t="shared" si="22"/>
        <v>0.15174000000000001</v>
      </c>
      <c r="I128" s="50">
        <f t="shared" si="20"/>
        <v>0.05</v>
      </c>
      <c r="J128" s="50">
        <v>1</v>
      </c>
      <c r="K128" s="93"/>
    </row>
    <row r="129" spans="1:11" ht="15.75" x14ac:dyDescent="0.25">
      <c r="A129" s="92"/>
      <c r="B129" s="55"/>
      <c r="C129" s="92" t="s">
        <v>268</v>
      </c>
      <c r="D129" s="50">
        <v>0.16400000000000001</v>
      </c>
      <c r="E129" s="134">
        <f t="shared" si="17"/>
        <v>2.2674599061759657E-2</v>
      </c>
      <c r="F129" s="50">
        <v>5</v>
      </c>
      <c r="G129" s="50">
        <f t="shared" si="21"/>
        <v>8.2000000000000007E-3</v>
      </c>
      <c r="H129" s="50">
        <f t="shared" si="22"/>
        <v>8.2000000000000007E-3</v>
      </c>
      <c r="I129" s="50">
        <f t="shared" si="20"/>
        <v>0.05</v>
      </c>
      <c r="J129" s="50">
        <v>1</v>
      </c>
      <c r="K129" s="93"/>
    </row>
    <row r="130" spans="1:11" ht="15.75" x14ac:dyDescent="0.25">
      <c r="A130" s="52">
        <v>1.4</v>
      </c>
      <c r="B130" s="51" t="s">
        <v>118</v>
      </c>
      <c r="C130" s="52"/>
      <c r="D130" s="53">
        <f>+SUM(D131:D135)</f>
        <v>4.99</v>
      </c>
      <c r="E130" s="135">
        <f t="shared" si="17"/>
        <v>0.68991615437915044</v>
      </c>
      <c r="F130" s="53">
        <v>40</v>
      </c>
      <c r="G130" s="53">
        <f t="shared" si="21"/>
        <v>1.9960000000000002</v>
      </c>
      <c r="H130" s="53"/>
      <c r="I130" s="53"/>
      <c r="J130" s="53" t="s">
        <v>865</v>
      </c>
      <c r="K130" s="65"/>
    </row>
    <row r="131" spans="1:11" ht="15.75" x14ac:dyDescent="0.25">
      <c r="A131" s="52"/>
      <c r="B131" s="55" t="s">
        <v>93</v>
      </c>
      <c r="C131" s="92" t="s">
        <v>306</v>
      </c>
      <c r="D131" s="50">
        <v>1.19</v>
      </c>
      <c r="E131" s="134">
        <f t="shared" si="17"/>
        <v>0.16452910294813408</v>
      </c>
      <c r="F131" s="50">
        <v>40</v>
      </c>
      <c r="G131" s="50">
        <f t="shared" si="21"/>
        <v>0.47599999999999992</v>
      </c>
      <c r="H131" s="50">
        <f t="shared" ref="H131:H139" si="23">+G131*J131</f>
        <v>1.9039999999999997</v>
      </c>
      <c r="I131" s="50">
        <f t="shared" si="20"/>
        <v>1.5999999999999999</v>
      </c>
      <c r="J131" s="50">
        <v>4</v>
      </c>
      <c r="K131" s="65"/>
    </row>
    <row r="132" spans="1:11" ht="15.75" x14ac:dyDescent="0.25">
      <c r="A132" s="52"/>
      <c r="B132" s="55"/>
      <c r="C132" s="92" t="s">
        <v>164</v>
      </c>
      <c r="D132" s="50">
        <v>7.0000000000000007E-2</v>
      </c>
      <c r="E132" s="134">
        <f t="shared" si="17"/>
        <v>9.6781825263608304E-3</v>
      </c>
      <c r="F132" s="50">
        <v>40</v>
      </c>
      <c r="G132" s="50">
        <f t="shared" si="21"/>
        <v>2.8000000000000004E-2</v>
      </c>
      <c r="H132" s="50">
        <f t="shared" si="23"/>
        <v>8.4000000000000019E-2</v>
      </c>
      <c r="I132" s="50">
        <f t="shared" si="20"/>
        <v>1.2000000000000002</v>
      </c>
      <c r="J132" s="50">
        <v>3</v>
      </c>
      <c r="K132" s="65"/>
    </row>
    <row r="133" spans="1:11" ht="15.75" x14ac:dyDescent="0.25">
      <c r="A133" s="52"/>
      <c r="B133" s="55"/>
      <c r="C133" s="92" t="s">
        <v>304</v>
      </c>
      <c r="D133" s="50">
        <v>0.6</v>
      </c>
      <c r="E133" s="134">
        <f t="shared" si="17"/>
        <v>8.2955850225949965E-2</v>
      </c>
      <c r="F133" s="50">
        <v>40</v>
      </c>
      <c r="G133" s="50">
        <f t="shared" si="21"/>
        <v>0.24</v>
      </c>
      <c r="H133" s="50">
        <f t="shared" si="23"/>
        <v>0.72</v>
      </c>
      <c r="I133" s="50">
        <f t="shared" si="20"/>
        <v>1.2</v>
      </c>
      <c r="J133" s="50">
        <v>3</v>
      </c>
      <c r="K133" s="65"/>
    </row>
    <row r="134" spans="1:11" ht="15.75" x14ac:dyDescent="0.25">
      <c r="A134" s="52"/>
      <c r="B134" s="55"/>
      <c r="C134" s="92" t="s">
        <v>302</v>
      </c>
      <c r="D134" s="50">
        <v>0.21</v>
      </c>
      <c r="E134" s="134">
        <f t="shared" si="17"/>
        <v>2.9034547579082484E-2</v>
      </c>
      <c r="F134" s="50">
        <v>40</v>
      </c>
      <c r="G134" s="50">
        <f t="shared" si="21"/>
        <v>8.4000000000000005E-2</v>
      </c>
      <c r="H134" s="50">
        <f t="shared" si="23"/>
        <v>0.252</v>
      </c>
      <c r="I134" s="50">
        <f t="shared" si="20"/>
        <v>1.2</v>
      </c>
      <c r="J134" s="50">
        <v>3</v>
      </c>
      <c r="K134" s="65"/>
    </row>
    <row r="135" spans="1:11" ht="15.75" x14ac:dyDescent="0.25">
      <c r="A135" s="52"/>
      <c r="B135" s="55"/>
      <c r="C135" s="92" t="s">
        <v>300</v>
      </c>
      <c r="D135" s="50">
        <v>2.92</v>
      </c>
      <c r="E135" s="134">
        <f t="shared" si="17"/>
        <v>0.40371847109962317</v>
      </c>
      <c r="F135" s="50">
        <v>40</v>
      </c>
      <c r="G135" s="50">
        <f t="shared" si="21"/>
        <v>1.1679999999999999</v>
      </c>
      <c r="H135" s="50">
        <f t="shared" si="23"/>
        <v>4.6719999999999997</v>
      </c>
      <c r="I135" s="50">
        <f t="shared" si="20"/>
        <v>1.5999999999999999</v>
      </c>
      <c r="J135" s="50">
        <v>4</v>
      </c>
      <c r="K135" s="65"/>
    </row>
    <row r="136" spans="1:11" ht="15.75" x14ac:dyDescent="0.25">
      <c r="A136" s="52">
        <v>1.5</v>
      </c>
      <c r="B136" s="51" t="s">
        <v>91</v>
      </c>
      <c r="C136" s="52"/>
      <c r="D136" s="53">
        <f>+SUM(D137:D139)</f>
        <v>0.78</v>
      </c>
      <c r="E136" s="135">
        <f t="shared" si="17"/>
        <v>0.10784260529373496</v>
      </c>
      <c r="F136" s="53">
        <v>40</v>
      </c>
      <c r="G136" s="53">
        <f>+D136*F136/100</f>
        <v>0.31200000000000006</v>
      </c>
      <c r="H136" s="53">
        <f t="shared" si="23"/>
        <v>0.93600000000000017</v>
      </c>
      <c r="I136" s="50">
        <f t="shared" si="20"/>
        <v>1.2000000000000002</v>
      </c>
      <c r="J136" s="53">
        <v>3</v>
      </c>
      <c r="K136" s="65"/>
    </row>
    <row r="137" spans="1:11" ht="15.75" x14ac:dyDescent="0.25">
      <c r="A137" s="92"/>
      <c r="B137" s="55"/>
      <c r="C137" s="92" t="s">
        <v>638</v>
      </c>
      <c r="D137" s="50">
        <v>0.69</v>
      </c>
      <c r="E137" s="134">
        <f t="shared" si="17"/>
        <v>9.5399227759842442E-2</v>
      </c>
      <c r="F137" s="50">
        <v>40</v>
      </c>
      <c r="G137" s="50">
        <f t="shared" ref="G137:G139" si="24">+D137*F137/100</f>
        <v>0.27599999999999997</v>
      </c>
      <c r="H137" s="50">
        <f t="shared" si="23"/>
        <v>0.82799999999999985</v>
      </c>
      <c r="I137" s="50">
        <f t="shared" si="20"/>
        <v>1.2</v>
      </c>
      <c r="J137" s="50">
        <v>3</v>
      </c>
      <c r="K137" s="93"/>
    </row>
    <row r="138" spans="1:11" ht="15.75" x14ac:dyDescent="0.25">
      <c r="A138" s="92"/>
      <c r="B138" s="55"/>
      <c r="C138" s="92" t="s">
        <v>742</v>
      </c>
      <c r="D138" s="50">
        <v>0.03</v>
      </c>
      <c r="E138" s="134">
        <f t="shared" si="17"/>
        <v>4.1477925112974974E-3</v>
      </c>
      <c r="F138" s="50">
        <v>40</v>
      </c>
      <c r="G138" s="50">
        <f t="shared" si="24"/>
        <v>1.2E-2</v>
      </c>
      <c r="H138" s="50">
        <f t="shared" si="23"/>
        <v>3.6000000000000004E-2</v>
      </c>
      <c r="I138" s="50">
        <f t="shared" si="20"/>
        <v>1.2000000000000002</v>
      </c>
      <c r="J138" s="50">
        <v>3</v>
      </c>
      <c r="K138" s="93"/>
    </row>
    <row r="139" spans="1:11" ht="15.75" x14ac:dyDescent="0.25">
      <c r="A139" s="92"/>
      <c r="B139" s="55"/>
      <c r="C139" s="92" t="s">
        <v>743</v>
      </c>
      <c r="D139" s="50">
        <v>0.06</v>
      </c>
      <c r="E139" s="134">
        <f t="shared" si="17"/>
        <v>8.2955850225949947E-3</v>
      </c>
      <c r="F139" s="50">
        <v>40</v>
      </c>
      <c r="G139" s="50">
        <f t="shared" si="24"/>
        <v>2.4E-2</v>
      </c>
      <c r="H139" s="50">
        <f t="shared" si="23"/>
        <v>7.2000000000000008E-2</v>
      </c>
      <c r="I139" s="50">
        <f t="shared" si="20"/>
        <v>1.2000000000000002</v>
      </c>
      <c r="J139" s="50">
        <v>3</v>
      </c>
      <c r="K139" s="93"/>
    </row>
    <row r="140" spans="1:11" ht="15.75" x14ac:dyDescent="0.25">
      <c r="A140" s="237">
        <v>2</v>
      </c>
      <c r="B140" s="238" t="s">
        <v>616</v>
      </c>
      <c r="C140" s="237"/>
      <c r="D140" s="239">
        <f>+SUM(D141:D141)</f>
        <v>1.55</v>
      </c>
      <c r="E140" s="240">
        <f t="shared" si="17"/>
        <v>0.21430261308370405</v>
      </c>
      <c r="F140" s="239">
        <f>+F141</f>
        <v>40</v>
      </c>
      <c r="G140" s="239">
        <f>+SUM(G141:G141)</f>
        <v>0.62</v>
      </c>
      <c r="H140" s="239">
        <f>+SUM(H141:H141)</f>
        <v>2.48</v>
      </c>
      <c r="I140" s="239">
        <f t="shared" si="20"/>
        <v>1.5999999999999999</v>
      </c>
      <c r="J140" s="239">
        <v>4</v>
      </c>
      <c r="K140" s="241"/>
    </row>
    <row r="141" spans="1:11" ht="15.75" x14ac:dyDescent="0.25">
      <c r="A141" s="92"/>
      <c r="B141" s="55" t="s">
        <v>39</v>
      </c>
      <c r="C141" s="92" t="s">
        <v>74</v>
      </c>
      <c r="D141" s="50">
        <v>1.55</v>
      </c>
      <c r="E141" s="134">
        <f t="shared" si="17"/>
        <v>0.21430261308370405</v>
      </c>
      <c r="F141" s="50">
        <v>40</v>
      </c>
      <c r="G141" s="50">
        <f>+D141*F141/100</f>
        <v>0.62</v>
      </c>
      <c r="H141" s="50">
        <f>+G141*J141</f>
        <v>2.48</v>
      </c>
      <c r="I141" s="50">
        <f t="shared" si="20"/>
        <v>1.5999999999999999</v>
      </c>
      <c r="J141" s="50">
        <v>4</v>
      </c>
      <c r="K141" s="93"/>
    </row>
    <row r="142" spans="1:11" ht="15.75" x14ac:dyDescent="0.25">
      <c r="A142" s="237">
        <v>3</v>
      </c>
      <c r="B142" s="238" t="s">
        <v>596</v>
      </c>
      <c r="C142" s="237"/>
      <c r="D142" s="239">
        <f>+SUM(D143:D146)</f>
        <v>2.75</v>
      </c>
      <c r="E142" s="240">
        <f t="shared" si="17"/>
        <v>0.38021431353560398</v>
      </c>
      <c r="F142" s="239">
        <f>+F166</f>
        <v>40</v>
      </c>
      <c r="G142" s="239">
        <f t="shared" ref="G142:G146" si="25">+D142*F142/100</f>
        <v>1.1000000000000001</v>
      </c>
      <c r="H142" s="239">
        <f t="shared" ref="H142:H146" si="26">+G142*J142</f>
        <v>1.1000000000000001</v>
      </c>
      <c r="I142" s="239">
        <f t="shared" si="20"/>
        <v>0.4</v>
      </c>
      <c r="J142" s="239">
        <v>1</v>
      </c>
      <c r="K142" s="241"/>
    </row>
    <row r="143" spans="1:11" ht="15.75" x14ac:dyDescent="0.25">
      <c r="A143" s="92"/>
      <c r="B143" s="55"/>
      <c r="C143" s="92" t="s">
        <v>609</v>
      </c>
      <c r="D143" s="50">
        <v>0.9</v>
      </c>
      <c r="E143" s="134">
        <f t="shared" ref="E143:E211" si="27">+D143/$D$3*100</f>
        <v>0.12443377533892495</v>
      </c>
      <c r="F143" s="50">
        <v>5</v>
      </c>
      <c r="G143" s="50">
        <f t="shared" si="25"/>
        <v>4.4999999999999998E-2</v>
      </c>
      <c r="H143" s="50">
        <f t="shared" si="26"/>
        <v>4.4999999999999998E-2</v>
      </c>
      <c r="I143" s="50">
        <f t="shared" si="20"/>
        <v>4.9999999999999996E-2</v>
      </c>
      <c r="J143" s="50">
        <v>1</v>
      </c>
      <c r="K143" s="93"/>
    </row>
    <row r="144" spans="1:11" ht="15.75" x14ac:dyDescent="0.25">
      <c r="A144" s="92"/>
      <c r="B144" s="55"/>
      <c r="C144" s="92" t="s">
        <v>610</v>
      </c>
      <c r="D144" s="50">
        <v>1.31</v>
      </c>
      <c r="E144" s="134">
        <f t="shared" si="27"/>
        <v>0.18112027299332409</v>
      </c>
      <c r="F144" s="50">
        <v>5</v>
      </c>
      <c r="G144" s="50">
        <f t="shared" si="25"/>
        <v>6.5500000000000003E-2</v>
      </c>
      <c r="H144" s="50">
        <f t="shared" si="26"/>
        <v>6.5500000000000003E-2</v>
      </c>
      <c r="I144" s="50">
        <f t="shared" si="20"/>
        <v>0.05</v>
      </c>
      <c r="J144" s="50">
        <v>1</v>
      </c>
      <c r="K144" s="93"/>
    </row>
    <row r="145" spans="1:11" ht="15.75" x14ac:dyDescent="0.25">
      <c r="A145" s="92"/>
      <c r="B145" s="55"/>
      <c r="C145" s="92" t="s">
        <v>611</v>
      </c>
      <c r="D145" s="50">
        <v>0.44</v>
      </c>
      <c r="E145" s="134">
        <f t="shared" si="27"/>
        <v>6.0834290165696643E-2</v>
      </c>
      <c r="F145" s="50">
        <v>5</v>
      </c>
      <c r="G145" s="50">
        <f t="shared" si="25"/>
        <v>2.2000000000000002E-2</v>
      </c>
      <c r="H145" s="50">
        <f t="shared" si="26"/>
        <v>2.2000000000000002E-2</v>
      </c>
      <c r="I145" s="50">
        <f t="shared" si="20"/>
        <v>0.05</v>
      </c>
      <c r="J145" s="50">
        <v>1</v>
      </c>
      <c r="K145" s="93"/>
    </row>
    <row r="146" spans="1:11" ht="15.75" x14ac:dyDescent="0.25">
      <c r="A146" s="92"/>
      <c r="B146" s="55"/>
      <c r="C146" s="92" t="s">
        <v>612</v>
      </c>
      <c r="D146" s="50">
        <v>0.1</v>
      </c>
      <c r="E146" s="134">
        <f t="shared" si="27"/>
        <v>1.3825975037658327E-2</v>
      </c>
      <c r="F146" s="50">
        <v>5</v>
      </c>
      <c r="G146" s="50">
        <f t="shared" si="25"/>
        <v>5.0000000000000001E-3</v>
      </c>
      <c r="H146" s="50">
        <f t="shared" si="26"/>
        <v>5.0000000000000001E-3</v>
      </c>
      <c r="I146" s="50">
        <f t="shared" si="20"/>
        <v>4.9999999999999996E-2</v>
      </c>
      <c r="J146" s="50">
        <v>1</v>
      </c>
      <c r="K146" s="93"/>
    </row>
    <row r="147" spans="1:11" ht="15.75" x14ac:dyDescent="0.25">
      <c r="A147" s="237">
        <v>4</v>
      </c>
      <c r="B147" s="238" t="s">
        <v>618</v>
      </c>
      <c r="C147" s="237"/>
      <c r="D147" s="239">
        <f>+SUM(D148:D150)</f>
        <v>0.91079999999999994</v>
      </c>
      <c r="E147" s="240">
        <f t="shared" si="27"/>
        <v>0.12592698064299204</v>
      </c>
      <c r="F147" s="239">
        <v>40</v>
      </c>
      <c r="G147" s="239">
        <f>+D147*F147/100</f>
        <v>0.36431999999999998</v>
      </c>
      <c r="H147" s="239">
        <f>+G147*J147</f>
        <v>1.8215999999999999</v>
      </c>
      <c r="I147" s="239">
        <f t="shared" si="20"/>
        <v>2</v>
      </c>
      <c r="J147" s="239">
        <f>+J148</f>
        <v>5</v>
      </c>
      <c r="K147" s="241"/>
    </row>
    <row r="148" spans="1:11" ht="15.75" x14ac:dyDescent="0.25">
      <c r="A148" s="92"/>
      <c r="B148" s="55"/>
      <c r="C148" s="92" t="s">
        <v>392</v>
      </c>
      <c r="D148" s="50">
        <v>0.15459999999999999</v>
      </c>
      <c r="E148" s="134">
        <f t="shared" si="27"/>
        <v>2.137495740821977E-2</v>
      </c>
      <c r="F148" s="50">
        <v>40</v>
      </c>
      <c r="G148" s="50">
        <f>+D148*F148/100</f>
        <v>6.1839999999999992E-2</v>
      </c>
      <c r="H148" s="50">
        <f>+G148*J148</f>
        <v>0.30919999999999997</v>
      </c>
      <c r="I148" s="50">
        <f t="shared" si="20"/>
        <v>2</v>
      </c>
      <c r="J148" s="50">
        <v>5</v>
      </c>
      <c r="K148" s="93"/>
    </row>
    <row r="149" spans="1:11" ht="15.75" x14ac:dyDescent="0.25">
      <c r="A149" s="92"/>
      <c r="B149" s="55"/>
      <c r="C149" s="92" t="s">
        <v>390</v>
      </c>
      <c r="D149" s="50">
        <v>0.70099999999999996</v>
      </c>
      <c r="E149" s="134">
        <f t="shared" si="27"/>
        <v>9.6920085013984858E-2</v>
      </c>
      <c r="F149" s="50">
        <v>40</v>
      </c>
      <c r="G149" s="50">
        <f>+D149*F149/100</f>
        <v>0.28039999999999998</v>
      </c>
      <c r="H149" s="50">
        <f>+G149*J149</f>
        <v>1.4019999999999999</v>
      </c>
      <c r="I149" s="50">
        <f t="shared" si="20"/>
        <v>2</v>
      </c>
      <c r="J149" s="50">
        <v>5</v>
      </c>
      <c r="K149" s="93"/>
    </row>
    <row r="150" spans="1:11" ht="15.75" x14ac:dyDescent="0.25">
      <c r="A150" s="92"/>
      <c r="B150" s="55"/>
      <c r="C150" s="92" t="s">
        <v>256</v>
      </c>
      <c r="D150" s="50">
        <v>5.5199999999999999E-2</v>
      </c>
      <c r="E150" s="134">
        <f t="shared" si="27"/>
        <v>7.6319382207873966E-3</v>
      </c>
      <c r="F150" s="50">
        <v>40</v>
      </c>
      <c r="G150" s="50">
        <f>+D150*F150/100</f>
        <v>2.2080000000000002E-2</v>
      </c>
      <c r="H150" s="50">
        <f>+G150*J150</f>
        <v>0.11040000000000001</v>
      </c>
      <c r="I150" s="50">
        <f t="shared" si="20"/>
        <v>2.0000000000000004</v>
      </c>
      <c r="J150" s="50">
        <v>5</v>
      </c>
      <c r="K150" s="93"/>
    </row>
    <row r="151" spans="1:11" ht="15.75" x14ac:dyDescent="0.25">
      <c r="A151" s="233" t="s">
        <v>607</v>
      </c>
      <c r="B151" s="234" t="s">
        <v>595</v>
      </c>
      <c r="C151" s="233"/>
      <c r="D151" s="235">
        <f>+D152+D155+D158+D164+D165+D168</f>
        <v>29.316899999999997</v>
      </c>
      <c r="E151" s="235">
        <f t="shared" si="27"/>
        <v>4.0533472758152538</v>
      </c>
      <c r="F151" s="235">
        <f>+G151*100/D151</f>
        <v>34.651821986635696</v>
      </c>
      <c r="G151" s="235">
        <f>+G152+G155+G158+G164+G165</f>
        <v>10.15884</v>
      </c>
      <c r="H151" s="235"/>
      <c r="I151" s="235"/>
      <c r="J151" s="235"/>
      <c r="K151" s="236"/>
    </row>
    <row r="152" spans="1:11" ht="15.75" x14ac:dyDescent="0.25">
      <c r="A152" s="237">
        <v>1</v>
      </c>
      <c r="B152" s="238" t="s">
        <v>92</v>
      </c>
      <c r="C152" s="237"/>
      <c r="D152" s="239">
        <f>+D153+D154</f>
        <v>1.54</v>
      </c>
      <c r="E152" s="240">
        <f t="shared" si="27"/>
        <v>0.21292001557993825</v>
      </c>
      <c r="F152" s="239">
        <f>+F153</f>
        <v>5</v>
      </c>
      <c r="G152" s="239">
        <f t="shared" ref="G152:G165" si="28">+D152*F152/100</f>
        <v>7.6999999999999999E-2</v>
      </c>
      <c r="H152" s="239">
        <f t="shared" ref="H152:H165" si="29">+G152*J152</f>
        <v>7.6999999999999999E-2</v>
      </c>
      <c r="I152" s="239">
        <f>+H152/D152</f>
        <v>4.9999999999999996E-2</v>
      </c>
      <c r="J152" s="239">
        <f>+J153</f>
        <v>1</v>
      </c>
      <c r="K152" s="241"/>
    </row>
    <row r="153" spans="1:11" ht="15.75" x14ac:dyDescent="0.25">
      <c r="A153" s="92"/>
      <c r="B153" s="55"/>
      <c r="C153" s="92" t="s">
        <v>252</v>
      </c>
      <c r="D153" s="50">
        <v>1.04</v>
      </c>
      <c r="E153" s="134">
        <f t="shared" si="27"/>
        <v>0.14379014039164659</v>
      </c>
      <c r="F153" s="50">
        <v>5</v>
      </c>
      <c r="G153" s="50">
        <f t="shared" si="28"/>
        <v>5.2000000000000005E-2</v>
      </c>
      <c r="H153" s="50">
        <f t="shared" si="29"/>
        <v>5.2000000000000005E-2</v>
      </c>
      <c r="I153" s="50">
        <f>+H153/D153</f>
        <v>0.05</v>
      </c>
      <c r="J153" s="50">
        <v>1</v>
      </c>
      <c r="K153" s="93"/>
    </row>
    <row r="154" spans="1:11" ht="15.75" x14ac:dyDescent="0.25">
      <c r="A154" s="92"/>
      <c r="B154" s="55"/>
      <c r="C154" s="92" t="s">
        <v>250</v>
      </c>
      <c r="D154" s="50">
        <v>0.5</v>
      </c>
      <c r="E154" s="134">
        <f t="shared" si="27"/>
        <v>6.9129875188291626E-2</v>
      </c>
      <c r="F154" s="50">
        <v>5</v>
      </c>
      <c r="G154" s="50">
        <f t="shared" si="28"/>
        <v>2.5000000000000001E-2</v>
      </c>
      <c r="H154" s="50">
        <f t="shared" si="29"/>
        <v>2.5000000000000001E-2</v>
      </c>
      <c r="I154" s="50">
        <f>+H154/D154</f>
        <v>0.05</v>
      </c>
      <c r="J154" s="50">
        <v>1</v>
      </c>
      <c r="K154" s="93"/>
    </row>
    <row r="155" spans="1:11" ht="15.75" x14ac:dyDescent="0.25">
      <c r="A155" s="237">
        <v>2</v>
      </c>
      <c r="B155" s="238" t="s">
        <v>96</v>
      </c>
      <c r="C155" s="237"/>
      <c r="D155" s="239">
        <f>+D156+D157</f>
        <v>7.2685999999999993</v>
      </c>
      <c r="E155" s="240">
        <f t="shared" si="27"/>
        <v>1.004954821587233</v>
      </c>
      <c r="F155" s="239">
        <f>+F156</f>
        <v>60</v>
      </c>
      <c r="G155" s="239">
        <f t="shared" si="28"/>
        <v>4.3611599999999999</v>
      </c>
      <c r="H155" s="239">
        <f t="shared" si="29"/>
        <v>13.08348</v>
      </c>
      <c r="I155" s="239">
        <f t="shared" ref="I155:I167" si="30">+H155/D155</f>
        <v>1.8</v>
      </c>
      <c r="J155" s="239">
        <f>+J156</f>
        <v>3</v>
      </c>
      <c r="K155" s="241"/>
    </row>
    <row r="156" spans="1:11" ht="15.75" x14ac:dyDescent="0.25">
      <c r="A156" s="92"/>
      <c r="B156" s="55"/>
      <c r="C156" s="92" t="s">
        <v>362</v>
      </c>
      <c r="D156" s="50">
        <v>4.68</v>
      </c>
      <c r="E156" s="134">
        <f t="shared" si="27"/>
        <v>0.64705563176240966</v>
      </c>
      <c r="F156" s="50">
        <v>60</v>
      </c>
      <c r="G156" s="50">
        <f t="shared" si="28"/>
        <v>2.8079999999999994</v>
      </c>
      <c r="H156" s="50">
        <f t="shared" si="29"/>
        <v>8.4239999999999977</v>
      </c>
      <c r="I156" s="50">
        <f t="shared" si="30"/>
        <v>1.7999999999999996</v>
      </c>
      <c r="J156" s="50">
        <v>3</v>
      </c>
      <c r="K156" s="93"/>
    </row>
    <row r="157" spans="1:11" ht="15.75" x14ac:dyDescent="0.25">
      <c r="A157" s="92"/>
      <c r="B157" s="55"/>
      <c r="C157" s="92" t="s">
        <v>360</v>
      </c>
      <c r="D157" s="50">
        <v>2.5886</v>
      </c>
      <c r="E157" s="134">
        <f t="shared" si="27"/>
        <v>0.35789918982482344</v>
      </c>
      <c r="F157" s="50">
        <v>60</v>
      </c>
      <c r="G157" s="50">
        <f t="shared" si="28"/>
        <v>1.5531600000000001</v>
      </c>
      <c r="H157" s="50">
        <f t="shared" si="29"/>
        <v>4.6594800000000003</v>
      </c>
      <c r="I157" s="50">
        <f t="shared" si="30"/>
        <v>1.8</v>
      </c>
      <c r="J157" s="50">
        <v>3</v>
      </c>
      <c r="K157" s="93"/>
    </row>
    <row r="158" spans="1:11" ht="15.75" x14ac:dyDescent="0.25">
      <c r="A158" s="237">
        <v>3</v>
      </c>
      <c r="B158" s="238" t="s">
        <v>99</v>
      </c>
      <c r="C158" s="237"/>
      <c r="D158" s="239">
        <f>SUM(D159:D163)</f>
        <v>8.0500000000000007</v>
      </c>
      <c r="E158" s="240">
        <f t="shared" si="27"/>
        <v>1.1129909905314954</v>
      </c>
      <c r="F158" s="239">
        <f>+G158/D158*100</f>
        <v>48.596273291925463</v>
      </c>
      <c r="G158" s="239">
        <f>SUM(G159:G163)</f>
        <v>3.9119999999999999</v>
      </c>
      <c r="H158" s="239"/>
      <c r="I158" s="239"/>
      <c r="J158" s="239" t="s">
        <v>861</v>
      </c>
      <c r="K158" s="241"/>
    </row>
    <row r="159" spans="1:11" ht="15.75" x14ac:dyDescent="0.25">
      <c r="A159" s="92"/>
      <c r="B159" s="55"/>
      <c r="C159" s="92" t="s">
        <v>613</v>
      </c>
      <c r="D159" s="50">
        <v>3.45</v>
      </c>
      <c r="E159" s="134">
        <f t="shared" si="27"/>
        <v>0.47699613879921232</v>
      </c>
      <c r="F159" s="50">
        <v>50</v>
      </c>
      <c r="G159" s="50">
        <f t="shared" si="28"/>
        <v>1.7250000000000001</v>
      </c>
      <c r="H159" s="50">
        <f t="shared" si="29"/>
        <v>17.25</v>
      </c>
      <c r="I159" s="50">
        <f t="shared" si="30"/>
        <v>5</v>
      </c>
      <c r="J159" s="50">
        <v>10</v>
      </c>
      <c r="K159" s="93"/>
    </row>
    <row r="160" spans="1:11" ht="15.75" x14ac:dyDescent="0.25">
      <c r="A160" s="92"/>
      <c r="B160" s="55"/>
      <c r="C160" s="92" t="s">
        <v>614</v>
      </c>
      <c r="D160" s="50">
        <v>1.21</v>
      </c>
      <c r="E160" s="134">
        <f t="shared" si="27"/>
        <v>0.16729429795566575</v>
      </c>
      <c r="F160" s="50">
        <v>50</v>
      </c>
      <c r="G160" s="50">
        <f t="shared" si="28"/>
        <v>0.60499999999999998</v>
      </c>
      <c r="H160" s="50">
        <f t="shared" si="29"/>
        <v>6.05</v>
      </c>
      <c r="I160" s="50">
        <f t="shared" si="30"/>
        <v>5</v>
      </c>
      <c r="J160" s="50">
        <v>10</v>
      </c>
      <c r="K160" s="93"/>
    </row>
    <row r="161" spans="1:11" ht="15.75" x14ac:dyDescent="0.25">
      <c r="A161" s="92"/>
      <c r="B161" s="55"/>
      <c r="C161" s="92" t="s">
        <v>615</v>
      </c>
      <c r="D161" s="50">
        <v>0.77</v>
      </c>
      <c r="E161" s="134">
        <f t="shared" si="27"/>
        <v>0.10646000778996913</v>
      </c>
      <c r="F161" s="50">
        <v>50</v>
      </c>
      <c r="G161" s="50">
        <f t="shared" si="28"/>
        <v>0.38500000000000001</v>
      </c>
      <c r="H161" s="50">
        <f t="shared" si="29"/>
        <v>7.7</v>
      </c>
      <c r="I161" s="50">
        <f t="shared" si="30"/>
        <v>10</v>
      </c>
      <c r="J161" s="50">
        <v>20</v>
      </c>
      <c r="K161" s="93"/>
    </row>
    <row r="162" spans="1:11" ht="15.75" x14ac:dyDescent="0.25">
      <c r="A162" s="92"/>
      <c r="B162" s="55"/>
      <c r="C162" s="92" t="s">
        <v>637</v>
      </c>
      <c r="D162" s="50">
        <v>1.49</v>
      </c>
      <c r="E162" s="134">
        <f t="shared" si="27"/>
        <v>0.20600702806110904</v>
      </c>
      <c r="F162" s="50">
        <v>50</v>
      </c>
      <c r="G162" s="50">
        <f t="shared" si="28"/>
        <v>0.745</v>
      </c>
      <c r="H162" s="50">
        <f t="shared" si="29"/>
        <v>11.175000000000001</v>
      </c>
      <c r="I162" s="50">
        <f t="shared" si="30"/>
        <v>7.5000000000000009</v>
      </c>
      <c r="J162" s="50">
        <v>15</v>
      </c>
      <c r="K162" s="93"/>
    </row>
    <row r="163" spans="1:11" ht="15.75" x14ac:dyDescent="0.25">
      <c r="A163" s="92"/>
      <c r="B163" s="55"/>
      <c r="C163" s="92" t="s">
        <v>853</v>
      </c>
      <c r="D163" s="50">
        <v>1.1299999999999999</v>
      </c>
      <c r="E163" s="134">
        <f t="shared" si="27"/>
        <v>0.15623351792553908</v>
      </c>
      <c r="F163" s="50">
        <v>40</v>
      </c>
      <c r="G163" s="50">
        <f t="shared" si="28"/>
        <v>0.45199999999999996</v>
      </c>
      <c r="H163" s="50">
        <f t="shared" si="29"/>
        <v>9.0399999999999991</v>
      </c>
      <c r="I163" s="50">
        <f t="shared" si="30"/>
        <v>8</v>
      </c>
      <c r="J163" s="50">
        <v>20</v>
      </c>
      <c r="K163" s="93"/>
    </row>
    <row r="164" spans="1:11" ht="15.75" x14ac:dyDescent="0.25">
      <c r="A164" s="237">
        <v>4</v>
      </c>
      <c r="B164" s="238" t="s">
        <v>103</v>
      </c>
      <c r="C164" s="237" t="s">
        <v>80</v>
      </c>
      <c r="D164" s="239">
        <v>1.28</v>
      </c>
      <c r="E164" s="240">
        <f t="shared" si="27"/>
        <v>0.17697248048202657</v>
      </c>
      <c r="F164" s="239">
        <v>40</v>
      </c>
      <c r="G164" s="239">
        <f t="shared" si="28"/>
        <v>0.51200000000000001</v>
      </c>
      <c r="H164" s="239">
        <f t="shared" si="29"/>
        <v>2.56</v>
      </c>
      <c r="I164" s="239">
        <f t="shared" si="30"/>
        <v>2</v>
      </c>
      <c r="J164" s="239">
        <v>5</v>
      </c>
      <c r="K164" s="241"/>
    </row>
    <row r="165" spans="1:11" ht="15.75" x14ac:dyDescent="0.25">
      <c r="A165" s="237">
        <v>5</v>
      </c>
      <c r="B165" s="238" t="s">
        <v>104</v>
      </c>
      <c r="C165" s="237"/>
      <c r="D165" s="239">
        <f>+SUM(D166:D167)</f>
        <v>3.2416999999999998</v>
      </c>
      <c r="E165" s="240">
        <f t="shared" si="27"/>
        <v>0.44819663279576993</v>
      </c>
      <c r="F165" s="239">
        <v>40</v>
      </c>
      <c r="G165" s="239">
        <f t="shared" si="28"/>
        <v>1.2966800000000001</v>
      </c>
      <c r="H165" s="239">
        <f t="shared" si="29"/>
        <v>1.2966800000000001</v>
      </c>
      <c r="I165" s="239">
        <f t="shared" si="30"/>
        <v>0.4</v>
      </c>
      <c r="J165" s="239">
        <v>1</v>
      </c>
      <c r="K165" s="241"/>
    </row>
    <row r="166" spans="1:11" ht="15.75" x14ac:dyDescent="0.25">
      <c r="A166" s="92"/>
      <c r="B166" s="55"/>
      <c r="C166" s="92" t="s">
        <v>338</v>
      </c>
      <c r="D166" s="50">
        <v>1.7353000000000001</v>
      </c>
      <c r="E166" s="134">
        <f t="shared" si="27"/>
        <v>0.23992214482848492</v>
      </c>
      <c r="F166" s="50">
        <v>40</v>
      </c>
      <c r="G166" s="50">
        <f>+D166*F166/100</f>
        <v>0.69412000000000007</v>
      </c>
      <c r="H166" s="50">
        <f>+G166*J166</f>
        <v>0.69412000000000007</v>
      </c>
      <c r="I166" s="50">
        <f t="shared" si="30"/>
        <v>0.4</v>
      </c>
      <c r="J166" s="50">
        <v>1</v>
      </c>
      <c r="K166" s="93"/>
    </row>
    <row r="167" spans="1:11" ht="15.75" x14ac:dyDescent="0.25">
      <c r="A167" s="92"/>
      <c r="B167" s="55"/>
      <c r="C167" s="92" t="s">
        <v>656</v>
      </c>
      <c r="D167" s="50">
        <v>1.5064</v>
      </c>
      <c r="E167" s="134">
        <f t="shared" si="27"/>
        <v>0.20827448796728504</v>
      </c>
      <c r="F167" s="50">
        <v>40</v>
      </c>
      <c r="G167" s="50">
        <f t="shared" ref="G167" si="31">+D167*F167/100</f>
        <v>0.60255999999999998</v>
      </c>
      <c r="H167" s="50">
        <f t="shared" ref="H167" si="32">+G167*J167</f>
        <v>0.60255999999999998</v>
      </c>
      <c r="I167" s="50">
        <f t="shared" si="30"/>
        <v>0.4</v>
      </c>
      <c r="J167" s="50">
        <v>1</v>
      </c>
      <c r="K167" s="93"/>
    </row>
    <row r="168" spans="1:11" ht="15.75" x14ac:dyDescent="0.25">
      <c r="A168" s="237">
        <v>6</v>
      </c>
      <c r="B168" s="238" t="s">
        <v>709</v>
      </c>
      <c r="C168" s="237"/>
      <c r="D168" s="239">
        <f>+D169+D173</f>
        <v>7.9366000000000003</v>
      </c>
      <c r="E168" s="240">
        <f t="shared" si="27"/>
        <v>1.0973123348387908</v>
      </c>
      <c r="F168" s="239"/>
      <c r="G168" s="239"/>
      <c r="H168" s="239"/>
      <c r="I168" s="239"/>
      <c r="J168" s="239"/>
      <c r="K168" s="241"/>
    </row>
    <row r="169" spans="1:11" ht="15.75" x14ac:dyDescent="0.25">
      <c r="A169" s="52">
        <v>6.1</v>
      </c>
      <c r="B169" s="51" t="s">
        <v>95</v>
      </c>
      <c r="C169" s="52"/>
      <c r="D169" s="53">
        <f>+SUM(D170:D172)</f>
        <v>4.0065999999999997</v>
      </c>
      <c r="E169" s="135">
        <f t="shared" si="27"/>
        <v>0.55395151585881841</v>
      </c>
      <c r="F169" s="53"/>
      <c r="G169" s="53"/>
      <c r="H169" s="53"/>
      <c r="I169" s="53"/>
      <c r="J169" s="53"/>
      <c r="K169" s="65"/>
    </row>
    <row r="170" spans="1:11" ht="15.75" x14ac:dyDescent="0.25">
      <c r="A170" s="92"/>
      <c r="B170" s="55"/>
      <c r="C170" s="92" t="s">
        <v>210</v>
      </c>
      <c r="D170" s="50">
        <v>3.0543999999999998</v>
      </c>
      <c r="E170" s="134">
        <f t="shared" si="27"/>
        <v>0.42230058155023592</v>
      </c>
      <c r="F170" s="50"/>
      <c r="G170" s="50"/>
      <c r="H170" s="50"/>
      <c r="I170" s="50"/>
      <c r="J170" s="50"/>
      <c r="K170" s="93"/>
    </row>
    <row r="171" spans="1:11" ht="15.75" x14ac:dyDescent="0.25">
      <c r="A171" s="92"/>
      <c r="B171" s="55"/>
      <c r="C171" s="92" t="s">
        <v>214</v>
      </c>
      <c r="D171" s="50">
        <v>0.6532</v>
      </c>
      <c r="E171" s="134">
        <f t="shared" si="27"/>
        <v>9.0311268945984194E-2</v>
      </c>
      <c r="F171" s="50"/>
      <c r="G171" s="50"/>
      <c r="H171" s="50"/>
      <c r="I171" s="50"/>
      <c r="J171" s="50"/>
      <c r="K171" s="93"/>
    </row>
    <row r="172" spans="1:11" ht="15.75" x14ac:dyDescent="0.25">
      <c r="A172" s="92"/>
      <c r="B172" s="55"/>
      <c r="C172" s="92" t="s">
        <v>212</v>
      </c>
      <c r="D172" s="50">
        <v>0.29899999999999999</v>
      </c>
      <c r="E172" s="134">
        <f t="shared" si="27"/>
        <v>4.1339665362598393E-2</v>
      </c>
      <c r="F172" s="50"/>
      <c r="G172" s="50"/>
      <c r="H172" s="50"/>
      <c r="I172" s="50"/>
      <c r="J172" s="50"/>
      <c r="K172" s="93"/>
    </row>
    <row r="173" spans="1:11" ht="15.75" x14ac:dyDescent="0.25">
      <c r="A173" s="52">
        <v>6.2</v>
      </c>
      <c r="B173" s="51" t="s">
        <v>53</v>
      </c>
      <c r="C173" s="52"/>
      <c r="D173" s="53">
        <f>+SUM(D174:D178)</f>
        <v>3.93</v>
      </c>
      <c r="E173" s="135">
        <f t="shared" si="27"/>
        <v>0.54336081897997224</v>
      </c>
      <c r="F173" s="53"/>
      <c r="G173" s="53"/>
      <c r="H173" s="53"/>
      <c r="I173" s="53"/>
      <c r="J173" s="53"/>
      <c r="K173" s="65"/>
    </row>
    <row r="174" spans="1:11" ht="15.75" x14ac:dyDescent="0.25">
      <c r="A174" s="92"/>
      <c r="B174" s="55"/>
      <c r="C174" s="92" t="s">
        <v>152</v>
      </c>
      <c r="D174" s="50">
        <v>1.1499999999999999</v>
      </c>
      <c r="E174" s="134">
        <f t="shared" si="27"/>
        <v>0.15899871293307075</v>
      </c>
      <c r="F174" s="50"/>
      <c r="G174" s="50"/>
      <c r="H174" s="50"/>
      <c r="I174" s="50"/>
      <c r="J174" s="50"/>
      <c r="K174" s="93"/>
    </row>
    <row r="175" spans="1:11" ht="15.75" x14ac:dyDescent="0.25">
      <c r="A175" s="92"/>
      <c r="B175" s="55"/>
      <c r="C175" s="92" t="s">
        <v>248</v>
      </c>
      <c r="D175" s="50">
        <v>1.83</v>
      </c>
      <c r="E175" s="134">
        <f t="shared" si="27"/>
        <v>0.25301534318914737</v>
      </c>
      <c r="F175" s="50"/>
      <c r="G175" s="50"/>
      <c r="H175" s="50"/>
      <c r="I175" s="50"/>
      <c r="J175" s="50"/>
      <c r="K175" s="93"/>
    </row>
    <row r="176" spans="1:11" ht="15.75" x14ac:dyDescent="0.25">
      <c r="A176" s="92"/>
      <c r="B176" s="55"/>
      <c r="C176" s="92" t="s">
        <v>244</v>
      </c>
      <c r="D176" s="50">
        <v>0.16</v>
      </c>
      <c r="E176" s="134">
        <f t="shared" si="27"/>
        <v>2.2121560060253322E-2</v>
      </c>
      <c r="F176" s="50"/>
      <c r="G176" s="50"/>
      <c r="H176" s="50"/>
      <c r="I176" s="50"/>
      <c r="J176" s="50"/>
      <c r="K176" s="93"/>
    </row>
    <row r="177" spans="1:11" ht="15.75" x14ac:dyDescent="0.25">
      <c r="A177" s="92"/>
      <c r="B177" s="55"/>
      <c r="C177" s="92" t="s">
        <v>246</v>
      </c>
      <c r="D177" s="50">
        <v>0.21</v>
      </c>
      <c r="E177" s="134">
        <f t="shared" si="27"/>
        <v>2.9034547579082484E-2</v>
      </c>
      <c r="F177" s="50"/>
      <c r="G177" s="50"/>
      <c r="H177" s="50"/>
      <c r="I177" s="50"/>
      <c r="J177" s="50"/>
      <c r="K177" s="93"/>
    </row>
    <row r="178" spans="1:11" ht="15.75" x14ac:dyDescent="0.25">
      <c r="A178" s="92"/>
      <c r="B178" s="55"/>
      <c r="C178" s="92" t="s">
        <v>617</v>
      </c>
      <c r="D178" s="50">
        <v>0.57999999999999996</v>
      </c>
      <c r="E178" s="134">
        <f t="shared" si="27"/>
        <v>8.0190655218418283E-2</v>
      </c>
      <c r="F178" s="50"/>
      <c r="G178" s="50"/>
      <c r="H178" s="50"/>
      <c r="I178" s="50"/>
      <c r="J178" s="50"/>
      <c r="K178" s="93"/>
    </row>
    <row r="179" spans="1:11" ht="15.75" x14ac:dyDescent="0.25">
      <c r="A179" s="233" t="s">
        <v>608</v>
      </c>
      <c r="B179" s="234" t="s">
        <v>624</v>
      </c>
      <c r="C179" s="233"/>
      <c r="D179" s="235">
        <f>+D180</f>
        <v>1.8099999999999998</v>
      </c>
      <c r="E179" s="235">
        <f t="shared" si="27"/>
        <v>0.25025014818161567</v>
      </c>
      <c r="F179" s="235"/>
      <c r="G179" s="235"/>
      <c r="H179" s="235"/>
      <c r="I179" s="235"/>
      <c r="J179" s="235"/>
      <c r="K179" s="236"/>
    </row>
    <row r="180" spans="1:11" ht="15.75" x14ac:dyDescent="0.25">
      <c r="A180" s="237">
        <v>1</v>
      </c>
      <c r="B180" s="238" t="s">
        <v>120</v>
      </c>
      <c r="C180" s="237"/>
      <c r="D180" s="239">
        <f>+SUM(D181:D184)</f>
        <v>1.8099999999999998</v>
      </c>
      <c r="E180" s="240">
        <f t="shared" si="27"/>
        <v>0.25025014818161567</v>
      </c>
      <c r="F180" s="239"/>
      <c r="G180" s="239"/>
      <c r="H180" s="239"/>
      <c r="I180" s="239"/>
      <c r="J180" s="239"/>
      <c r="K180" s="241"/>
    </row>
    <row r="181" spans="1:11" ht="15.75" x14ac:dyDescent="0.25">
      <c r="A181" s="92"/>
      <c r="B181" s="55"/>
      <c r="C181" s="92" t="s">
        <v>228</v>
      </c>
      <c r="D181" s="50">
        <v>0.64</v>
      </c>
      <c r="E181" s="134">
        <f t="shared" si="27"/>
        <v>8.8486240241013286E-2</v>
      </c>
      <c r="F181" s="50"/>
      <c r="G181" s="50"/>
      <c r="H181" s="50"/>
      <c r="I181" s="50"/>
      <c r="J181" s="50"/>
      <c r="K181" s="93"/>
    </row>
    <row r="182" spans="1:11" ht="15.75" x14ac:dyDescent="0.25">
      <c r="A182" s="92"/>
      <c r="B182" s="55"/>
      <c r="C182" s="92" t="s">
        <v>144</v>
      </c>
      <c r="D182" s="50">
        <v>0.32</v>
      </c>
      <c r="E182" s="134">
        <f t="shared" si="27"/>
        <v>4.4243120120506643E-2</v>
      </c>
      <c r="F182" s="50"/>
      <c r="G182" s="50"/>
      <c r="H182" s="50"/>
      <c r="I182" s="50"/>
      <c r="J182" s="50"/>
      <c r="K182" s="93"/>
    </row>
    <row r="183" spans="1:11" ht="15.75" x14ac:dyDescent="0.25">
      <c r="A183" s="92"/>
      <c r="B183" s="55"/>
      <c r="C183" s="92" t="s">
        <v>224</v>
      </c>
      <c r="D183" s="50">
        <v>0.69</v>
      </c>
      <c r="E183" s="134">
        <f t="shared" si="27"/>
        <v>9.5399227759842442E-2</v>
      </c>
      <c r="F183" s="50"/>
      <c r="G183" s="50"/>
      <c r="H183" s="50"/>
      <c r="I183" s="50"/>
      <c r="J183" s="50"/>
      <c r="K183" s="93"/>
    </row>
    <row r="184" spans="1:11" ht="15.75" x14ac:dyDescent="0.25">
      <c r="A184" s="92"/>
      <c r="B184" s="55"/>
      <c r="C184" s="92" t="s">
        <v>176</v>
      </c>
      <c r="D184" s="50">
        <v>0.16</v>
      </c>
      <c r="E184" s="134">
        <f t="shared" si="27"/>
        <v>2.2121560060253322E-2</v>
      </c>
      <c r="F184" s="50"/>
      <c r="G184" s="50"/>
      <c r="H184" s="50"/>
      <c r="I184" s="50"/>
      <c r="J184" s="50"/>
      <c r="K184" s="93"/>
    </row>
    <row r="185" spans="1:11" ht="15.75" x14ac:dyDescent="0.25">
      <c r="A185" s="233" t="s">
        <v>623</v>
      </c>
      <c r="B185" s="234" t="s">
        <v>605</v>
      </c>
      <c r="C185" s="233"/>
      <c r="D185" s="235">
        <f>+D83-D84-D151-D179</f>
        <v>25.973651000000029</v>
      </c>
      <c r="E185" s="235">
        <f t="shared" si="27"/>
        <v>3.5911105036284958</v>
      </c>
      <c r="F185" s="235"/>
      <c r="G185" s="235"/>
      <c r="H185" s="235"/>
      <c r="I185" s="235"/>
      <c r="J185" s="235"/>
      <c r="K185" s="236"/>
    </row>
    <row r="186" spans="1:11" ht="15.75" x14ac:dyDescent="0.25">
      <c r="A186" s="227" t="s">
        <v>863</v>
      </c>
      <c r="B186" s="243" t="s">
        <v>592</v>
      </c>
      <c r="C186" s="227"/>
      <c r="D186" s="244">
        <f>2827569.14/10000</f>
        <v>282.75691399999999</v>
      </c>
      <c r="E186" s="232">
        <f t="shared" si="27"/>
        <v>39.093900346893022</v>
      </c>
      <c r="F186" s="244">
        <f>+G186*100/D186</f>
        <v>37.091147840155017</v>
      </c>
      <c r="G186" s="244">
        <f>+G187+G262</f>
        <v>104.87778499999999</v>
      </c>
      <c r="H186" s="244"/>
      <c r="I186" s="244"/>
      <c r="J186" s="244"/>
      <c r="K186" s="245">
        <f>+K188</f>
        <v>5350</v>
      </c>
    </row>
    <row r="187" spans="1:11" ht="15.75" x14ac:dyDescent="0.25">
      <c r="A187" s="233" t="s">
        <v>606</v>
      </c>
      <c r="B187" s="234" t="s">
        <v>594</v>
      </c>
      <c r="C187" s="233"/>
      <c r="D187" s="235">
        <f>+D188+D253+D257</f>
        <v>135.18560000000002</v>
      </c>
      <c r="E187" s="235">
        <f t="shared" si="27"/>
        <v>18.690727310508638</v>
      </c>
      <c r="F187" s="235"/>
      <c r="G187" s="235">
        <f>+G188+G253+G257</f>
        <v>74.884464999999992</v>
      </c>
      <c r="H187" s="235"/>
      <c r="I187" s="235"/>
      <c r="J187" s="235"/>
      <c r="K187" s="236"/>
    </row>
    <row r="188" spans="1:11" ht="15.75" x14ac:dyDescent="0.25">
      <c r="A188" s="237">
        <v>1</v>
      </c>
      <c r="B188" s="238" t="s">
        <v>593</v>
      </c>
      <c r="C188" s="237"/>
      <c r="D188" s="239">
        <f>+D189+D208+D243+D249+D239</f>
        <v>131.4631</v>
      </c>
      <c r="E188" s="240">
        <f t="shared" si="27"/>
        <v>18.176055389731804</v>
      </c>
      <c r="F188" s="239"/>
      <c r="G188" s="239">
        <f>+G189+G208+G239+G243+G249</f>
        <v>73.958964999999992</v>
      </c>
      <c r="H188" s="239"/>
      <c r="I188" s="239"/>
      <c r="J188" s="239"/>
      <c r="K188" s="241">
        <f>+K189+K208</f>
        <v>5350</v>
      </c>
    </row>
    <row r="189" spans="1:11" ht="15.75" x14ac:dyDescent="0.25">
      <c r="A189" s="52" t="s">
        <v>31</v>
      </c>
      <c r="B189" s="51" t="s">
        <v>89</v>
      </c>
      <c r="C189" s="52"/>
      <c r="D189" s="53">
        <f>+D190+D201+D205</f>
        <v>48.592500000000001</v>
      </c>
      <c r="E189" s="135">
        <f t="shared" si="27"/>
        <v>6.7183869201741224</v>
      </c>
      <c r="F189" s="53">
        <v>60</v>
      </c>
      <c r="G189" s="53">
        <f>+G190+G201+G205</f>
        <v>29.1555</v>
      </c>
      <c r="H189" s="53"/>
      <c r="I189" s="53"/>
      <c r="J189" s="133" t="s">
        <v>866</v>
      </c>
      <c r="K189" s="65">
        <f>+N190+N192+N194+30</f>
        <v>30</v>
      </c>
    </row>
    <row r="190" spans="1:11" ht="15.75" x14ac:dyDescent="0.25">
      <c r="A190" s="151" t="s">
        <v>707</v>
      </c>
      <c r="B190" s="212" t="s">
        <v>36</v>
      </c>
      <c r="C190" s="151"/>
      <c r="D190" s="214">
        <f>+SUM(D191:D200)</f>
        <v>40.264800000000001</v>
      </c>
      <c r="E190" s="213">
        <f t="shared" si="27"/>
        <v>5.5670011969630497</v>
      </c>
      <c r="F190" s="214">
        <v>60</v>
      </c>
      <c r="G190" s="214">
        <f t="shared" ref="G190:G243" si="33">+D190*F190/100</f>
        <v>24.15888</v>
      </c>
      <c r="H190" s="214">
        <f t="shared" ref="H190:H209" si="34">+G190*J190</f>
        <v>169.11215999999999</v>
      </c>
      <c r="I190" s="214">
        <f>+H190/D190</f>
        <v>4.1999999999999993</v>
      </c>
      <c r="J190" s="214">
        <v>7</v>
      </c>
      <c r="K190" s="216"/>
    </row>
    <row r="191" spans="1:11" ht="15.75" x14ac:dyDescent="0.25">
      <c r="A191" s="92"/>
      <c r="B191" s="55"/>
      <c r="C191" s="92" t="s">
        <v>426</v>
      </c>
      <c r="D191" s="50">
        <v>3.4550000000000001</v>
      </c>
      <c r="E191" s="134">
        <f t="shared" si="27"/>
        <v>0.47768743755109516</v>
      </c>
      <c r="F191" s="50">
        <v>60</v>
      </c>
      <c r="G191" s="50">
        <f t="shared" si="33"/>
        <v>2.073</v>
      </c>
      <c r="H191" s="50">
        <f t="shared" si="34"/>
        <v>14.510999999999999</v>
      </c>
      <c r="I191" s="50">
        <f>+H191/D191</f>
        <v>4.1999999999999993</v>
      </c>
      <c r="J191" s="50">
        <v>7</v>
      </c>
      <c r="K191" s="93"/>
    </row>
    <row r="192" spans="1:11" ht="15.75" x14ac:dyDescent="0.25">
      <c r="A192" s="92"/>
      <c r="B192" s="55"/>
      <c r="C192" s="92" t="s">
        <v>160</v>
      </c>
      <c r="D192" s="50">
        <v>1.5490999999999999</v>
      </c>
      <c r="E192" s="134">
        <f t="shared" si="27"/>
        <v>0.21417817930836514</v>
      </c>
      <c r="F192" s="50">
        <v>60</v>
      </c>
      <c r="G192" s="50">
        <f t="shared" si="33"/>
        <v>0.92945999999999995</v>
      </c>
      <c r="H192" s="50">
        <f t="shared" si="34"/>
        <v>6.5062199999999999</v>
      </c>
      <c r="I192" s="50">
        <f t="shared" ref="I192:I257" si="35">+H192/D192</f>
        <v>4.2</v>
      </c>
      <c r="J192" s="50">
        <v>7</v>
      </c>
      <c r="K192" s="93"/>
    </row>
    <row r="193" spans="1:11" ht="15.75" x14ac:dyDescent="0.25">
      <c r="A193" s="92"/>
      <c r="B193" s="55"/>
      <c r="C193" s="92" t="s">
        <v>424</v>
      </c>
      <c r="D193" s="50">
        <v>7.8566000000000003</v>
      </c>
      <c r="E193" s="134">
        <f t="shared" si="27"/>
        <v>1.0862515548086642</v>
      </c>
      <c r="F193" s="50">
        <v>60</v>
      </c>
      <c r="G193" s="50">
        <f t="shared" si="33"/>
        <v>4.7139600000000002</v>
      </c>
      <c r="H193" s="50">
        <f t="shared" si="34"/>
        <v>32.997720000000001</v>
      </c>
      <c r="I193" s="50">
        <f t="shared" si="35"/>
        <v>4.2</v>
      </c>
      <c r="J193" s="50">
        <v>7</v>
      </c>
      <c r="K193" s="93"/>
    </row>
    <row r="194" spans="1:11" ht="15.75" x14ac:dyDescent="0.25">
      <c r="A194" s="92"/>
      <c r="B194" s="55"/>
      <c r="C194" s="92" t="s">
        <v>418</v>
      </c>
      <c r="D194" s="50">
        <v>17.725999999999999</v>
      </c>
      <c r="E194" s="134">
        <f t="shared" si="27"/>
        <v>2.4507923351753149</v>
      </c>
      <c r="F194" s="50">
        <v>60</v>
      </c>
      <c r="G194" s="50">
        <f t="shared" si="33"/>
        <v>10.6356</v>
      </c>
      <c r="H194" s="50">
        <f t="shared" si="34"/>
        <v>74.449200000000005</v>
      </c>
      <c r="I194" s="50">
        <f t="shared" si="35"/>
        <v>4.2</v>
      </c>
      <c r="J194" s="50">
        <v>7</v>
      </c>
      <c r="K194" s="93"/>
    </row>
    <row r="195" spans="1:11" ht="15.75" x14ac:dyDescent="0.25">
      <c r="A195" s="92"/>
      <c r="B195" s="55"/>
      <c r="C195" s="92" t="s">
        <v>422</v>
      </c>
      <c r="D195" s="50">
        <v>0.82</v>
      </c>
      <c r="E195" s="134">
        <f t="shared" si="27"/>
        <v>0.11337299530879827</v>
      </c>
      <c r="F195" s="50">
        <v>60</v>
      </c>
      <c r="G195" s="50">
        <f t="shared" si="33"/>
        <v>0.49199999999999994</v>
      </c>
      <c r="H195" s="50">
        <f t="shared" si="34"/>
        <v>3.4439999999999995</v>
      </c>
      <c r="I195" s="50">
        <f t="shared" si="35"/>
        <v>4.1999999999999993</v>
      </c>
      <c r="J195" s="50">
        <v>7</v>
      </c>
      <c r="K195" s="93"/>
    </row>
    <row r="196" spans="1:11" ht="15.75" x14ac:dyDescent="0.25">
      <c r="A196" s="92"/>
      <c r="B196" s="55"/>
      <c r="C196" s="92" t="s">
        <v>420</v>
      </c>
      <c r="D196" s="50">
        <v>2.1570999999999998</v>
      </c>
      <c r="E196" s="134">
        <f t="shared" si="27"/>
        <v>0.29824010753732777</v>
      </c>
      <c r="F196" s="50">
        <v>60</v>
      </c>
      <c r="G196" s="50">
        <f t="shared" si="33"/>
        <v>1.29426</v>
      </c>
      <c r="H196" s="50">
        <f t="shared" si="34"/>
        <v>9.0598200000000002</v>
      </c>
      <c r="I196" s="50">
        <f t="shared" si="35"/>
        <v>4.2</v>
      </c>
      <c r="J196" s="50">
        <v>7</v>
      </c>
      <c r="K196" s="93"/>
    </row>
    <row r="197" spans="1:11" ht="15.75" x14ac:dyDescent="0.25">
      <c r="A197" s="92"/>
      <c r="B197" s="55"/>
      <c r="C197" s="92" t="s">
        <v>162</v>
      </c>
      <c r="D197" s="50">
        <v>3.2991000000000001</v>
      </c>
      <c r="E197" s="134">
        <f t="shared" si="27"/>
        <v>0.45613274246738589</v>
      </c>
      <c r="F197" s="50">
        <v>60</v>
      </c>
      <c r="G197" s="50">
        <f t="shared" si="33"/>
        <v>1.97946</v>
      </c>
      <c r="H197" s="50">
        <f t="shared" si="34"/>
        <v>13.85622</v>
      </c>
      <c r="I197" s="50">
        <f t="shared" si="35"/>
        <v>4.2</v>
      </c>
      <c r="J197" s="50">
        <v>7</v>
      </c>
      <c r="K197" s="93"/>
    </row>
    <row r="198" spans="1:11" ht="15.75" x14ac:dyDescent="0.25">
      <c r="A198" s="92"/>
      <c r="B198" s="55"/>
      <c r="C198" s="92" t="s">
        <v>416</v>
      </c>
      <c r="D198" s="50">
        <v>1.504</v>
      </c>
      <c r="E198" s="134">
        <f t="shared" si="27"/>
        <v>0.20794266456638125</v>
      </c>
      <c r="F198" s="50">
        <v>60</v>
      </c>
      <c r="G198" s="50">
        <f t="shared" si="33"/>
        <v>0.90239999999999998</v>
      </c>
      <c r="H198" s="50">
        <f t="shared" si="34"/>
        <v>6.3167999999999997</v>
      </c>
      <c r="I198" s="50">
        <f t="shared" si="35"/>
        <v>4.2</v>
      </c>
      <c r="J198" s="50">
        <v>7</v>
      </c>
      <c r="K198" s="93"/>
    </row>
    <row r="199" spans="1:11" ht="15.75" x14ac:dyDescent="0.25">
      <c r="A199" s="92"/>
      <c r="B199" s="55"/>
      <c r="C199" s="92" t="s">
        <v>158</v>
      </c>
      <c r="D199" s="50">
        <v>0.57020000000000004</v>
      </c>
      <c r="E199" s="134">
        <f t="shared" si="27"/>
        <v>7.8835709664727777E-2</v>
      </c>
      <c r="F199" s="50">
        <v>60</v>
      </c>
      <c r="G199" s="50">
        <f t="shared" si="33"/>
        <v>0.34212000000000004</v>
      </c>
      <c r="H199" s="50">
        <f t="shared" si="34"/>
        <v>2.3948400000000003</v>
      </c>
      <c r="I199" s="50">
        <f t="shared" si="35"/>
        <v>4.2</v>
      </c>
      <c r="J199" s="50">
        <v>7</v>
      </c>
      <c r="K199" s="93"/>
    </row>
    <row r="200" spans="1:11" ht="15.75" x14ac:dyDescent="0.25">
      <c r="A200" s="92"/>
      <c r="B200" s="55"/>
      <c r="C200" s="92" t="s">
        <v>156</v>
      </c>
      <c r="D200" s="50">
        <v>1.3277000000000001</v>
      </c>
      <c r="E200" s="134">
        <f t="shared" si="27"/>
        <v>0.18356747057498962</v>
      </c>
      <c r="F200" s="50">
        <v>60</v>
      </c>
      <c r="G200" s="50">
        <f t="shared" si="33"/>
        <v>0.79662000000000011</v>
      </c>
      <c r="H200" s="50">
        <f t="shared" si="34"/>
        <v>5.576340000000001</v>
      </c>
      <c r="I200" s="50">
        <f t="shared" si="35"/>
        <v>4.2</v>
      </c>
      <c r="J200" s="50">
        <v>7</v>
      </c>
      <c r="K200" s="93"/>
    </row>
    <row r="201" spans="1:11" ht="15.75" x14ac:dyDescent="0.25">
      <c r="A201" s="151" t="s">
        <v>708</v>
      </c>
      <c r="B201" s="212" t="s">
        <v>37</v>
      </c>
      <c r="C201" s="151"/>
      <c r="D201" s="214">
        <f>+SUM(D202:D204)</f>
        <v>5.6960999999999995</v>
      </c>
      <c r="E201" s="213">
        <f t="shared" si="27"/>
        <v>0.78754136412005593</v>
      </c>
      <c r="F201" s="214">
        <v>60</v>
      </c>
      <c r="G201" s="214">
        <f>+D201*F201/100</f>
        <v>3.4176599999999997</v>
      </c>
      <c r="H201" s="214">
        <f>+G201*J201</f>
        <v>10.252979999999999</v>
      </c>
      <c r="I201" s="214">
        <f t="shared" si="35"/>
        <v>1.8</v>
      </c>
      <c r="J201" s="214">
        <f>+J202</f>
        <v>3</v>
      </c>
      <c r="K201" s="215"/>
    </row>
    <row r="202" spans="1:11" ht="15.75" x14ac:dyDescent="0.25">
      <c r="A202" s="92"/>
      <c r="B202" s="55"/>
      <c r="C202" s="92" t="s">
        <v>174</v>
      </c>
      <c r="D202" s="50">
        <v>2.5602999999999998</v>
      </c>
      <c r="E202" s="134">
        <f t="shared" si="27"/>
        <v>0.35398643888916614</v>
      </c>
      <c r="F202" s="50">
        <v>60</v>
      </c>
      <c r="G202" s="50">
        <f>+D202*F202/100</f>
        <v>1.5361799999999999</v>
      </c>
      <c r="H202" s="50">
        <f>+G202*J202</f>
        <v>4.6085399999999996</v>
      </c>
      <c r="I202" s="50">
        <f t="shared" si="35"/>
        <v>1.8</v>
      </c>
      <c r="J202" s="50">
        <v>3</v>
      </c>
      <c r="K202" s="93"/>
    </row>
    <row r="203" spans="1:11" ht="15.75" x14ac:dyDescent="0.25">
      <c r="A203" s="92"/>
      <c r="B203" s="55"/>
      <c r="C203" s="92" t="s">
        <v>172</v>
      </c>
      <c r="D203" s="50">
        <v>2.1398000000000001</v>
      </c>
      <c r="E203" s="134">
        <f t="shared" si="27"/>
        <v>0.29584821385581289</v>
      </c>
      <c r="F203" s="50">
        <v>60</v>
      </c>
      <c r="G203" s="50">
        <f>+D203*F203/100</f>
        <v>1.2838800000000001</v>
      </c>
      <c r="H203" s="50">
        <f>+G203*J203</f>
        <v>3.8516400000000006</v>
      </c>
      <c r="I203" s="50">
        <f t="shared" si="35"/>
        <v>1.8000000000000003</v>
      </c>
      <c r="J203" s="50">
        <v>3</v>
      </c>
      <c r="K203" s="93"/>
    </row>
    <row r="204" spans="1:11" ht="15.75" x14ac:dyDescent="0.25">
      <c r="A204" s="92"/>
      <c r="B204" s="55"/>
      <c r="C204" s="92" t="s">
        <v>641</v>
      </c>
      <c r="D204" s="50">
        <v>0.996</v>
      </c>
      <c r="E204" s="134">
        <f t="shared" si="27"/>
        <v>0.13770671137507692</v>
      </c>
      <c r="F204" s="50">
        <v>60</v>
      </c>
      <c r="G204" s="50">
        <f>+D204*F204/100</f>
        <v>0.59760000000000002</v>
      </c>
      <c r="H204" s="50">
        <f>+G204*J204</f>
        <v>1.7928000000000002</v>
      </c>
      <c r="I204" s="50">
        <f t="shared" si="35"/>
        <v>1.8000000000000003</v>
      </c>
      <c r="J204" s="50">
        <v>3</v>
      </c>
      <c r="K204" s="93"/>
    </row>
    <row r="205" spans="1:11" ht="15.75" x14ac:dyDescent="0.25">
      <c r="A205" s="151" t="s">
        <v>724</v>
      </c>
      <c r="B205" s="212" t="s">
        <v>725</v>
      </c>
      <c r="C205" s="151"/>
      <c r="D205" s="214">
        <f>+D206+D207</f>
        <v>2.6316000000000002</v>
      </c>
      <c r="E205" s="213">
        <f t="shared" si="27"/>
        <v>0.36384435909101653</v>
      </c>
      <c r="F205" s="214">
        <v>60</v>
      </c>
      <c r="G205" s="214">
        <f t="shared" ref="G205:G207" si="36">+D205*F205/100</f>
        <v>1.5789600000000001</v>
      </c>
      <c r="H205" s="214">
        <f t="shared" ref="H205:H207" si="37">+G205*J205</f>
        <v>14.210640000000001</v>
      </c>
      <c r="I205" s="214">
        <f t="shared" si="35"/>
        <v>5.4</v>
      </c>
      <c r="J205" s="214">
        <v>9</v>
      </c>
      <c r="K205" s="215"/>
    </row>
    <row r="206" spans="1:11" ht="15.75" x14ac:dyDescent="0.25">
      <c r="A206" s="92"/>
      <c r="B206" s="55"/>
      <c r="C206" s="92" t="s">
        <v>400</v>
      </c>
      <c r="D206" s="50">
        <v>0.8861</v>
      </c>
      <c r="E206" s="134">
        <f t="shared" si="27"/>
        <v>0.12251196480869042</v>
      </c>
      <c r="F206" s="50">
        <v>60</v>
      </c>
      <c r="G206" s="50">
        <f t="shared" si="36"/>
        <v>0.53166000000000002</v>
      </c>
      <c r="H206" s="50">
        <f t="shared" si="37"/>
        <v>4.7849400000000006</v>
      </c>
      <c r="I206" s="50">
        <f t="shared" si="35"/>
        <v>5.4</v>
      </c>
      <c r="J206" s="50">
        <v>9</v>
      </c>
      <c r="K206" s="93"/>
    </row>
    <row r="207" spans="1:11" ht="15.75" x14ac:dyDescent="0.25">
      <c r="A207" s="92"/>
      <c r="B207" s="55"/>
      <c r="C207" s="92" t="s">
        <v>398</v>
      </c>
      <c r="D207" s="50">
        <v>1.7455000000000001</v>
      </c>
      <c r="E207" s="134">
        <f t="shared" si="27"/>
        <v>0.24133239428232611</v>
      </c>
      <c r="F207" s="50">
        <v>60</v>
      </c>
      <c r="G207" s="50">
        <f t="shared" si="36"/>
        <v>1.0473000000000001</v>
      </c>
      <c r="H207" s="50">
        <f t="shared" si="37"/>
        <v>9.4257000000000009</v>
      </c>
      <c r="I207" s="50">
        <f t="shared" si="35"/>
        <v>5.4</v>
      </c>
      <c r="J207" s="50">
        <v>9</v>
      </c>
      <c r="K207" s="93"/>
    </row>
    <row r="208" spans="1:11" ht="15.75" x14ac:dyDescent="0.25">
      <c r="A208" s="52">
        <v>1.2</v>
      </c>
      <c r="B208" s="51" t="s">
        <v>90</v>
      </c>
      <c r="C208" s="52"/>
      <c r="D208" s="53">
        <f>+SUM(D209:D238)</f>
        <v>72.277000000000001</v>
      </c>
      <c r="E208" s="135">
        <f t="shared" si="27"/>
        <v>9.9929999779683083</v>
      </c>
      <c r="F208" s="53">
        <v>60</v>
      </c>
      <c r="G208" s="53">
        <f t="shared" si="33"/>
        <v>43.366199999999999</v>
      </c>
      <c r="H208" s="53">
        <f t="shared" si="34"/>
        <v>303.5634</v>
      </c>
      <c r="I208" s="53">
        <f t="shared" si="35"/>
        <v>4.2</v>
      </c>
      <c r="J208" s="53">
        <f>+J210</f>
        <v>7</v>
      </c>
      <c r="K208" s="65">
        <v>5320</v>
      </c>
    </row>
    <row r="209" spans="1:11" ht="15.75" x14ac:dyDescent="0.25">
      <c r="A209" s="52"/>
      <c r="B209" s="51"/>
      <c r="C209" s="92" t="s">
        <v>518</v>
      </c>
      <c r="D209" s="50">
        <v>0.46</v>
      </c>
      <c r="E209" s="134">
        <f t="shared" si="27"/>
        <v>6.3599485173228304E-2</v>
      </c>
      <c r="F209" s="50">
        <v>60</v>
      </c>
      <c r="G209" s="50">
        <f t="shared" si="33"/>
        <v>0.27600000000000002</v>
      </c>
      <c r="H209" s="50">
        <f t="shared" si="34"/>
        <v>1.9320000000000002</v>
      </c>
      <c r="I209" s="50">
        <f t="shared" si="35"/>
        <v>4.2</v>
      </c>
      <c r="J209" s="50">
        <v>7</v>
      </c>
      <c r="K209" s="65"/>
    </row>
    <row r="210" spans="1:11" ht="15.75" x14ac:dyDescent="0.25">
      <c r="A210" s="92"/>
      <c r="B210" s="55"/>
      <c r="C210" s="92" t="s">
        <v>516</v>
      </c>
      <c r="D210" s="50">
        <v>1.35</v>
      </c>
      <c r="E210" s="134">
        <f t="shared" si="27"/>
        <v>0.18665066300838742</v>
      </c>
      <c r="F210" s="50">
        <v>60</v>
      </c>
      <c r="G210" s="50">
        <f t="shared" si="33"/>
        <v>0.81</v>
      </c>
      <c r="H210" s="50">
        <f>+G210*J210</f>
        <v>5.67</v>
      </c>
      <c r="I210" s="50">
        <f t="shared" si="35"/>
        <v>4.1999999999999993</v>
      </c>
      <c r="J210" s="50">
        <v>7</v>
      </c>
      <c r="K210" s="93"/>
    </row>
    <row r="211" spans="1:11" ht="15.75" x14ac:dyDescent="0.25">
      <c r="A211" s="92"/>
      <c r="B211" s="55"/>
      <c r="C211" s="92" t="s">
        <v>514</v>
      </c>
      <c r="D211" s="50">
        <v>0.41</v>
      </c>
      <c r="E211" s="134">
        <f t="shared" si="27"/>
        <v>5.6686497654399134E-2</v>
      </c>
      <c r="F211" s="50">
        <v>60</v>
      </c>
      <c r="G211" s="50">
        <f t="shared" si="33"/>
        <v>0.24599999999999997</v>
      </c>
      <c r="H211" s="50">
        <f t="shared" ref="H211:H243" si="38">+G211*J211</f>
        <v>1.7219999999999998</v>
      </c>
      <c r="I211" s="50">
        <f t="shared" si="35"/>
        <v>4.1999999999999993</v>
      </c>
      <c r="J211" s="50">
        <v>7</v>
      </c>
      <c r="K211" s="93"/>
    </row>
    <row r="212" spans="1:11" ht="15.75" x14ac:dyDescent="0.25">
      <c r="A212" s="92"/>
      <c r="B212" s="55"/>
      <c r="C212" s="92" t="s">
        <v>512</v>
      </c>
      <c r="D212" s="50">
        <v>0.28000000000000003</v>
      </c>
      <c r="E212" s="134">
        <f t="shared" ref="E212:E283" si="39">+D212/$D$3*100</f>
        <v>3.8712730105443321E-2</v>
      </c>
      <c r="F212" s="50">
        <v>60</v>
      </c>
      <c r="G212" s="50">
        <f t="shared" si="33"/>
        <v>0.16800000000000001</v>
      </c>
      <c r="H212" s="50">
        <f t="shared" si="38"/>
        <v>1.1760000000000002</v>
      </c>
      <c r="I212" s="50">
        <f t="shared" si="35"/>
        <v>4.2</v>
      </c>
      <c r="J212" s="50">
        <v>7</v>
      </c>
      <c r="K212" s="93"/>
    </row>
    <row r="213" spans="1:11" ht="15.75" x14ac:dyDescent="0.25">
      <c r="A213" s="92"/>
      <c r="B213" s="55"/>
      <c r="C213" s="92" t="s">
        <v>500</v>
      </c>
      <c r="D213" s="50">
        <v>2.06</v>
      </c>
      <c r="E213" s="134">
        <f t="shared" si="39"/>
        <v>0.28481508577576153</v>
      </c>
      <c r="F213" s="50">
        <v>60</v>
      </c>
      <c r="G213" s="50">
        <f t="shared" si="33"/>
        <v>1.236</v>
      </c>
      <c r="H213" s="50">
        <f t="shared" si="38"/>
        <v>8.6519999999999992</v>
      </c>
      <c r="I213" s="50">
        <f t="shared" si="35"/>
        <v>4.1999999999999993</v>
      </c>
      <c r="J213" s="50">
        <v>7</v>
      </c>
      <c r="K213" s="93"/>
    </row>
    <row r="214" spans="1:11" ht="15.75" x14ac:dyDescent="0.25">
      <c r="A214" s="92"/>
      <c r="B214" s="55"/>
      <c r="C214" s="92" t="s">
        <v>498</v>
      </c>
      <c r="D214" s="50">
        <v>0.15</v>
      </c>
      <c r="E214" s="134">
        <f t="shared" si="39"/>
        <v>2.0738962556487491E-2</v>
      </c>
      <c r="F214" s="50">
        <v>60</v>
      </c>
      <c r="G214" s="50">
        <f t="shared" si="33"/>
        <v>0.09</v>
      </c>
      <c r="H214" s="50">
        <f t="shared" si="38"/>
        <v>0.63</v>
      </c>
      <c r="I214" s="50">
        <f t="shared" si="35"/>
        <v>4.2</v>
      </c>
      <c r="J214" s="50">
        <v>7</v>
      </c>
      <c r="K214" s="93"/>
    </row>
    <row r="215" spans="1:11" ht="15.75" x14ac:dyDescent="0.25">
      <c r="A215" s="92"/>
      <c r="B215" s="55"/>
      <c r="C215" s="92" t="s">
        <v>502</v>
      </c>
      <c r="D215" s="50">
        <v>0.41</v>
      </c>
      <c r="E215" s="134">
        <f t="shared" si="39"/>
        <v>5.6686497654399134E-2</v>
      </c>
      <c r="F215" s="50">
        <v>60</v>
      </c>
      <c r="G215" s="50">
        <f t="shared" si="33"/>
        <v>0.24599999999999997</v>
      </c>
      <c r="H215" s="50">
        <f t="shared" si="38"/>
        <v>1.7219999999999998</v>
      </c>
      <c r="I215" s="50">
        <f t="shared" si="35"/>
        <v>4.1999999999999993</v>
      </c>
      <c r="J215" s="50">
        <v>7</v>
      </c>
      <c r="K215" s="93"/>
    </row>
    <row r="216" spans="1:11" ht="15.75" x14ac:dyDescent="0.25">
      <c r="A216" s="92"/>
      <c r="B216" s="55"/>
      <c r="C216" s="92" t="s">
        <v>510</v>
      </c>
      <c r="D216" s="50">
        <v>7.56</v>
      </c>
      <c r="E216" s="134">
        <f t="shared" si="39"/>
        <v>1.0452437128469696</v>
      </c>
      <c r="F216" s="50">
        <v>60</v>
      </c>
      <c r="G216" s="50">
        <f t="shared" si="33"/>
        <v>4.5359999999999996</v>
      </c>
      <c r="H216" s="50">
        <f t="shared" si="38"/>
        <v>31.751999999999995</v>
      </c>
      <c r="I216" s="50">
        <f t="shared" si="35"/>
        <v>4.1999999999999993</v>
      </c>
      <c r="J216" s="50">
        <v>7</v>
      </c>
      <c r="K216" s="93"/>
    </row>
    <row r="217" spans="1:11" ht="15.75" x14ac:dyDescent="0.25">
      <c r="A217" s="92"/>
      <c r="B217" s="55"/>
      <c r="C217" s="92" t="s">
        <v>508</v>
      </c>
      <c r="D217" s="50">
        <v>4.53</v>
      </c>
      <c r="E217" s="134">
        <f t="shared" si="39"/>
        <v>0.62631666920592222</v>
      </c>
      <c r="F217" s="50">
        <v>60</v>
      </c>
      <c r="G217" s="50">
        <f t="shared" si="33"/>
        <v>2.718</v>
      </c>
      <c r="H217" s="50">
        <f t="shared" si="38"/>
        <v>19.026</v>
      </c>
      <c r="I217" s="50">
        <f t="shared" si="35"/>
        <v>4.1999999999999993</v>
      </c>
      <c r="J217" s="50">
        <v>7</v>
      </c>
      <c r="K217" s="93"/>
    </row>
    <row r="218" spans="1:11" ht="15.75" x14ac:dyDescent="0.25">
      <c r="A218" s="92"/>
      <c r="B218" s="55"/>
      <c r="C218" s="92" t="s">
        <v>504</v>
      </c>
      <c r="D218" s="50">
        <v>2.56</v>
      </c>
      <c r="E218" s="134">
        <f t="shared" si="39"/>
        <v>0.35394496096405315</v>
      </c>
      <c r="F218" s="50">
        <v>60</v>
      </c>
      <c r="G218" s="50">
        <f t="shared" si="33"/>
        <v>1.536</v>
      </c>
      <c r="H218" s="50">
        <f t="shared" si="38"/>
        <v>10.752000000000001</v>
      </c>
      <c r="I218" s="50">
        <f t="shared" si="35"/>
        <v>4.2</v>
      </c>
      <c r="J218" s="50">
        <v>7</v>
      </c>
      <c r="K218" s="93"/>
    </row>
    <row r="219" spans="1:11" ht="15.75" x14ac:dyDescent="0.25">
      <c r="A219" s="92"/>
      <c r="B219" s="55"/>
      <c r="C219" s="92" t="s">
        <v>506</v>
      </c>
      <c r="D219" s="50">
        <v>3.79</v>
      </c>
      <c r="E219" s="134">
        <f t="shared" si="39"/>
        <v>0.52400445392725059</v>
      </c>
      <c r="F219" s="50">
        <v>60</v>
      </c>
      <c r="G219" s="50">
        <f t="shared" si="33"/>
        <v>2.274</v>
      </c>
      <c r="H219" s="50">
        <f t="shared" si="38"/>
        <v>15.917999999999999</v>
      </c>
      <c r="I219" s="50">
        <f t="shared" si="35"/>
        <v>4.2</v>
      </c>
      <c r="J219" s="50">
        <v>7</v>
      </c>
      <c r="K219" s="93"/>
    </row>
    <row r="220" spans="1:11" ht="15.75" x14ac:dyDescent="0.25">
      <c r="A220" s="92"/>
      <c r="B220" s="55"/>
      <c r="C220" s="92" t="s">
        <v>494</v>
      </c>
      <c r="D220" s="50">
        <v>0.91</v>
      </c>
      <c r="E220" s="134">
        <f t="shared" si="39"/>
        <v>0.12581637284269079</v>
      </c>
      <c r="F220" s="50">
        <v>60</v>
      </c>
      <c r="G220" s="50">
        <f t="shared" si="33"/>
        <v>0.54600000000000004</v>
      </c>
      <c r="H220" s="50">
        <f t="shared" si="38"/>
        <v>3.8220000000000001</v>
      </c>
      <c r="I220" s="50">
        <f t="shared" si="35"/>
        <v>4.2</v>
      </c>
      <c r="J220" s="50">
        <v>7</v>
      </c>
      <c r="K220" s="93"/>
    </row>
    <row r="221" spans="1:11" ht="15.75" x14ac:dyDescent="0.25">
      <c r="A221" s="92"/>
      <c r="B221" s="55"/>
      <c r="C221" s="92" t="s">
        <v>490</v>
      </c>
      <c r="D221" s="50">
        <v>1.1200000000000001</v>
      </c>
      <c r="E221" s="134">
        <f t="shared" si="39"/>
        <v>0.15485092042177329</v>
      </c>
      <c r="F221" s="50">
        <v>60</v>
      </c>
      <c r="G221" s="50">
        <f t="shared" si="33"/>
        <v>0.67200000000000004</v>
      </c>
      <c r="H221" s="50">
        <f t="shared" si="38"/>
        <v>4.7040000000000006</v>
      </c>
      <c r="I221" s="50">
        <f t="shared" si="35"/>
        <v>4.2</v>
      </c>
      <c r="J221" s="50">
        <v>7</v>
      </c>
      <c r="K221" s="93"/>
    </row>
    <row r="222" spans="1:11" ht="15.75" x14ac:dyDescent="0.25">
      <c r="A222" s="92"/>
      <c r="B222" s="55"/>
      <c r="C222" s="92" t="s">
        <v>492</v>
      </c>
      <c r="D222" s="50">
        <v>1.27</v>
      </c>
      <c r="E222" s="134">
        <f t="shared" si="39"/>
        <v>0.17558988297826075</v>
      </c>
      <c r="F222" s="50">
        <v>60</v>
      </c>
      <c r="G222" s="50">
        <f t="shared" si="33"/>
        <v>0.76200000000000001</v>
      </c>
      <c r="H222" s="50">
        <f t="shared" si="38"/>
        <v>5.3339999999999996</v>
      </c>
      <c r="I222" s="50">
        <f t="shared" si="35"/>
        <v>4.1999999999999993</v>
      </c>
      <c r="J222" s="50">
        <v>7</v>
      </c>
      <c r="K222" s="93"/>
    </row>
    <row r="223" spans="1:11" ht="15.75" x14ac:dyDescent="0.25">
      <c r="A223" s="92"/>
      <c r="B223" s="55"/>
      <c r="C223" s="92" t="s">
        <v>496</v>
      </c>
      <c r="D223" s="50">
        <v>2.39</v>
      </c>
      <c r="E223" s="134">
        <f t="shared" si="39"/>
        <v>0.33044080340003401</v>
      </c>
      <c r="F223" s="50">
        <v>60</v>
      </c>
      <c r="G223" s="50">
        <f t="shared" si="33"/>
        <v>1.4340000000000002</v>
      </c>
      <c r="H223" s="50">
        <f t="shared" si="38"/>
        <v>10.038</v>
      </c>
      <c r="I223" s="50">
        <f t="shared" si="35"/>
        <v>4.2</v>
      </c>
      <c r="J223" s="50">
        <v>7</v>
      </c>
      <c r="K223" s="93"/>
    </row>
    <row r="224" spans="1:11" ht="15.75" x14ac:dyDescent="0.25">
      <c r="A224" s="92"/>
      <c r="B224" s="55"/>
      <c r="C224" s="92" t="s">
        <v>470</v>
      </c>
      <c r="D224" s="50">
        <v>11.87</v>
      </c>
      <c r="E224" s="134">
        <f t="shared" si="39"/>
        <v>1.6411432369700434</v>
      </c>
      <c r="F224" s="50">
        <v>60</v>
      </c>
      <c r="G224" s="50">
        <f t="shared" si="33"/>
        <v>7.121999999999999</v>
      </c>
      <c r="H224" s="50">
        <f t="shared" si="38"/>
        <v>49.853999999999992</v>
      </c>
      <c r="I224" s="50">
        <f t="shared" si="35"/>
        <v>4.1999999999999993</v>
      </c>
      <c r="J224" s="50">
        <v>7</v>
      </c>
      <c r="K224" s="93"/>
    </row>
    <row r="225" spans="1:11" ht="15.75" x14ac:dyDescent="0.25">
      <c r="A225" s="92"/>
      <c r="B225" s="55"/>
      <c r="C225" s="92" t="s">
        <v>488</v>
      </c>
      <c r="D225" s="50">
        <v>0.187</v>
      </c>
      <c r="E225" s="134">
        <f t="shared" si="39"/>
        <v>2.5854573320421074E-2</v>
      </c>
      <c r="F225" s="50">
        <v>60</v>
      </c>
      <c r="G225" s="50">
        <f t="shared" si="33"/>
        <v>0.11220000000000001</v>
      </c>
      <c r="H225" s="50">
        <f t="shared" si="38"/>
        <v>0.7854000000000001</v>
      </c>
      <c r="I225" s="50">
        <f t="shared" si="35"/>
        <v>4.2</v>
      </c>
      <c r="J225" s="50">
        <v>7</v>
      </c>
      <c r="K225" s="93"/>
    </row>
    <row r="226" spans="1:11" ht="15.75" x14ac:dyDescent="0.25">
      <c r="A226" s="92"/>
      <c r="B226" s="55"/>
      <c r="C226" s="92" t="s">
        <v>486</v>
      </c>
      <c r="D226" s="50">
        <v>0.86</v>
      </c>
      <c r="E226" s="134">
        <f t="shared" si="39"/>
        <v>0.1189033853238616</v>
      </c>
      <c r="F226" s="50">
        <v>60</v>
      </c>
      <c r="G226" s="50">
        <f t="shared" si="33"/>
        <v>0.51600000000000001</v>
      </c>
      <c r="H226" s="50">
        <f t="shared" si="38"/>
        <v>3.6120000000000001</v>
      </c>
      <c r="I226" s="50">
        <f t="shared" si="35"/>
        <v>4.2</v>
      </c>
      <c r="J226" s="50">
        <v>7</v>
      </c>
      <c r="K226" s="93"/>
    </row>
    <row r="227" spans="1:11" ht="15.75" x14ac:dyDescent="0.25">
      <c r="A227" s="92"/>
      <c r="B227" s="55"/>
      <c r="C227" s="92" t="s">
        <v>484</v>
      </c>
      <c r="D227" s="50">
        <v>8.17</v>
      </c>
      <c r="E227" s="134">
        <f t="shared" si="39"/>
        <v>1.1295821605766854</v>
      </c>
      <c r="F227" s="50">
        <v>60</v>
      </c>
      <c r="G227" s="50">
        <f t="shared" si="33"/>
        <v>4.9020000000000001</v>
      </c>
      <c r="H227" s="50">
        <f t="shared" si="38"/>
        <v>34.314</v>
      </c>
      <c r="I227" s="50">
        <f t="shared" si="35"/>
        <v>4.2</v>
      </c>
      <c r="J227" s="50">
        <v>7</v>
      </c>
      <c r="K227" s="93"/>
    </row>
    <row r="228" spans="1:11" ht="15.75" x14ac:dyDescent="0.25">
      <c r="A228" s="92"/>
      <c r="B228" s="55"/>
      <c r="C228" s="92" t="s">
        <v>482</v>
      </c>
      <c r="D228" s="50">
        <v>7.94</v>
      </c>
      <c r="E228" s="134">
        <f t="shared" si="39"/>
        <v>1.097782417990071</v>
      </c>
      <c r="F228" s="50">
        <v>60</v>
      </c>
      <c r="G228" s="50">
        <f t="shared" si="33"/>
        <v>4.7640000000000002</v>
      </c>
      <c r="H228" s="50">
        <f t="shared" si="38"/>
        <v>33.347999999999999</v>
      </c>
      <c r="I228" s="50">
        <f t="shared" si="35"/>
        <v>4.1999999999999993</v>
      </c>
      <c r="J228" s="50">
        <v>7</v>
      </c>
      <c r="K228" s="93"/>
    </row>
    <row r="229" spans="1:11" ht="15.75" x14ac:dyDescent="0.25">
      <c r="A229" s="92"/>
      <c r="B229" s="55"/>
      <c r="C229" s="92" t="s">
        <v>480</v>
      </c>
      <c r="D229" s="50">
        <v>4.4800000000000004</v>
      </c>
      <c r="E229" s="134">
        <f t="shared" si="39"/>
        <v>0.61940368168709314</v>
      </c>
      <c r="F229" s="50">
        <v>60</v>
      </c>
      <c r="G229" s="50">
        <f t="shared" si="33"/>
        <v>2.6880000000000002</v>
      </c>
      <c r="H229" s="50">
        <f t="shared" si="38"/>
        <v>18.816000000000003</v>
      </c>
      <c r="I229" s="50">
        <f t="shared" si="35"/>
        <v>4.2</v>
      </c>
      <c r="J229" s="50">
        <v>7</v>
      </c>
      <c r="K229" s="93"/>
    </row>
    <row r="230" spans="1:11" ht="15.75" x14ac:dyDescent="0.25">
      <c r="A230" s="92"/>
      <c r="B230" s="55"/>
      <c r="C230" s="92" t="s">
        <v>478</v>
      </c>
      <c r="D230" s="50">
        <v>1.81</v>
      </c>
      <c r="E230" s="134">
        <f t="shared" si="39"/>
        <v>0.25025014818161573</v>
      </c>
      <c r="F230" s="50">
        <v>60</v>
      </c>
      <c r="G230" s="50">
        <f t="shared" si="33"/>
        <v>1.0860000000000001</v>
      </c>
      <c r="H230" s="50">
        <f t="shared" si="38"/>
        <v>7.6020000000000003</v>
      </c>
      <c r="I230" s="50">
        <f t="shared" si="35"/>
        <v>4.2</v>
      </c>
      <c r="J230" s="50">
        <v>7</v>
      </c>
      <c r="K230" s="93"/>
    </row>
    <row r="231" spans="1:11" ht="15.75" x14ac:dyDescent="0.25">
      <c r="A231" s="92"/>
      <c r="B231" s="55"/>
      <c r="C231" s="92" t="s">
        <v>476</v>
      </c>
      <c r="D231" s="50">
        <v>1.25</v>
      </c>
      <c r="E231" s="134">
        <f t="shared" si="39"/>
        <v>0.17282468797072909</v>
      </c>
      <c r="F231" s="50">
        <v>60</v>
      </c>
      <c r="G231" s="50">
        <f t="shared" si="33"/>
        <v>0.75</v>
      </c>
      <c r="H231" s="50">
        <f t="shared" si="38"/>
        <v>5.25</v>
      </c>
      <c r="I231" s="50">
        <f t="shared" si="35"/>
        <v>4.2</v>
      </c>
      <c r="J231" s="50">
        <v>7</v>
      </c>
      <c r="K231" s="93"/>
    </row>
    <row r="232" spans="1:11" ht="15.75" x14ac:dyDescent="0.25">
      <c r="A232" s="92"/>
      <c r="B232" s="55"/>
      <c r="C232" s="92" t="s">
        <v>474</v>
      </c>
      <c r="D232" s="50">
        <v>1.64</v>
      </c>
      <c r="E232" s="134">
        <f t="shared" si="39"/>
        <v>0.22674599061759654</v>
      </c>
      <c r="F232" s="50">
        <v>60</v>
      </c>
      <c r="G232" s="50">
        <f t="shared" si="33"/>
        <v>0.98399999999999987</v>
      </c>
      <c r="H232" s="50">
        <f t="shared" si="38"/>
        <v>6.887999999999999</v>
      </c>
      <c r="I232" s="50">
        <f t="shared" si="35"/>
        <v>4.1999999999999993</v>
      </c>
      <c r="J232" s="50">
        <v>7</v>
      </c>
      <c r="K232" s="93"/>
    </row>
    <row r="233" spans="1:11" ht="15.75" x14ac:dyDescent="0.25">
      <c r="A233" s="92"/>
      <c r="B233" s="55"/>
      <c r="C233" s="92" t="s">
        <v>472</v>
      </c>
      <c r="D233" s="50">
        <v>0.57999999999999996</v>
      </c>
      <c r="E233" s="134">
        <f t="shared" si="39"/>
        <v>8.0190655218418283E-2</v>
      </c>
      <c r="F233" s="50">
        <v>60</v>
      </c>
      <c r="G233" s="50">
        <f t="shared" si="33"/>
        <v>0.34799999999999998</v>
      </c>
      <c r="H233" s="50">
        <f t="shared" si="38"/>
        <v>2.4359999999999999</v>
      </c>
      <c r="I233" s="50">
        <f t="shared" si="35"/>
        <v>4.2</v>
      </c>
      <c r="J233" s="50">
        <v>7</v>
      </c>
      <c r="K233" s="93"/>
    </row>
    <row r="234" spans="1:11" ht="15.75" x14ac:dyDescent="0.25">
      <c r="A234" s="92"/>
      <c r="B234" s="55"/>
      <c r="C234" s="92" t="s">
        <v>598</v>
      </c>
      <c r="D234" s="50">
        <v>0.18</v>
      </c>
      <c r="E234" s="134">
        <f t="shared" si="39"/>
        <v>2.4886755067784989E-2</v>
      </c>
      <c r="F234" s="50">
        <v>60</v>
      </c>
      <c r="G234" s="50">
        <f t="shared" si="33"/>
        <v>0.10799999999999998</v>
      </c>
      <c r="H234" s="50">
        <f t="shared" si="38"/>
        <v>0.75599999999999989</v>
      </c>
      <c r="I234" s="50">
        <f t="shared" si="35"/>
        <v>4.1999999999999993</v>
      </c>
      <c r="J234" s="50">
        <v>7</v>
      </c>
      <c r="K234" s="93"/>
    </row>
    <row r="235" spans="1:11" ht="15.75" x14ac:dyDescent="0.25">
      <c r="A235" s="92"/>
      <c r="B235" s="55"/>
      <c r="C235" s="92" t="s">
        <v>695</v>
      </c>
      <c r="D235" s="50">
        <v>1.93</v>
      </c>
      <c r="E235" s="134">
        <f t="shared" si="39"/>
        <v>0.26684131822680573</v>
      </c>
      <c r="F235" s="50">
        <v>60</v>
      </c>
      <c r="G235" s="50">
        <f t="shared" si="33"/>
        <v>1.1579999999999999</v>
      </c>
      <c r="H235" s="50">
        <f t="shared" si="38"/>
        <v>8.1059999999999999</v>
      </c>
      <c r="I235" s="50">
        <f t="shared" si="35"/>
        <v>4.2</v>
      </c>
      <c r="J235" s="50">
        <v>7</v>
      </c>
      <c r="K235" s="93"/>
    </row>
    <row r="236" spans="1:11" ht="15.75" x14ac:dyDescent="0.25">
      <c r="A236" s="92"/>
      <c r="B236" s="55"/>
      <c r="C236" s="92" t="s">
        <v>722</v>
      </c>
      <c r="D236" s="50">
        <v>0.5</v>
      </c>
      <c r="E236" s="134">
        <f t="shared" si="39"/>
        <v>6.9129875188291626E-2</v>
      </c>
      <c r="F236" s="50">
        <v>60</v>
      </c>
      <c r="G236" s="50">
        <f t="shared" si="33"/>
        <v>0.3</v>
      </c>
      <c r="H236" s="50">
        <f t="shared" si="38"/>
        <v>2.1</v>
      </c>
      <c r="I236" s="50">
        <f t="shared" si="35"/>
        <v>4.2</v>
      </c>
      <c r="J236" s="50">
        <v>7</v>
      </c>
      <c r="K236" s="93"/>
    </row>
    <row r="237" spans="1:11" ht="15.75" x14ac:dyDescent="0.25">
      <c r="A237" s="92"/>
      <c r="B237" s="55"/>
      <c r="C237" s="92" t="s">
        <v>723</v>
      </c>
      <c r="D237" s="50">
        <v>1.47</v>
      </c>
      <c r="E237" s="134">
        <f t="shared" si="39"/>
        <v>0.2032418330535774</v>
      </c>
      <c r="F237" s="50">
        <v>60</v>
      </c>
      <c r="G237" s="50">
        <f t="shared" si="33"/>
        <v>0.88200000000000001</v>
      </c>
      <c r="H237" s="50">
        <f t="shared" si="38"/>
        <v>6.1740000000000004</v>
      </c>
      <c r="I237" s="50">
        <f t="shared" si="35"/>
        <v>4.2</v>
      </c>
      <c r="J237" s="50">
        <v>7</v>
      </c>
      <c r="K237" s="93"/>
    </row>
    <row r="238" spans="1:11" ht="15.75" x14ac:dyDescent="0.25">
      <c r="A238" s="92"/>
      <c r="B238" s="55"/>
      <c r="C238" s="92" t="s">
        <v>756</v>
      </c>
      <c r="D238" s="50">
        <v>0.16</v>
      </c>
      <c r="E238" s="134">
        <f t="shared" si="39"/>
        <v>2.2121560060253322E-2</v>
      </c>
      <c r="F238" s="50">
        <v>60</v>
      </c>
      <c r="G238" s="50">
        <f t="shared" si="33"/>
        <v>9.6000000000000002E-2</v>
      </c>
      <c r="H238" s="50">
        <f t="shared" si="38"/>
        <v>0.67200000000000004</v>
      </c>
      <c r="I238" s="50">
        <f t="shared" si="35"/>
        <v>4.2</v>
      </c>
      <c r="J238" s="50">
        <v>7</v>
      </c>
      <c r="K238" s="93"/>
    </row>
    <row r="239" spans="1:11" ht="15.75" x14ac:dyDescent="0.25">
      <c r="A239" s="52">
        <v>1.3</v>
      </c>
      <c r="B239" s="51" t="s">
        <v>119</v>
      </c>
      <c r="C239" s="52"/>
      <c r="D239" s="53">
        <f>+SUM(D240:D242)</f>
        <v>8.0004999999999988</v>
      </c>
      <c r="E239" s="135">
        <f>+D239/$D$3*100</f>
        <v>1.1061471328878543</v>
      </c>
      <c r="F239" s="53">
        <v>5</v>
      </c>
      <c r="G239" s="53">
        <f t="shared" si="33"/>
        <v>0.40002499999999996</v>
      </c>
      <c r="H239" s="53">
        <f t="shared" si="38"/>
        <v>0.40002499999999996</v>
      </c>
      <c r="I239" s="53">
        <f t="shared" si="35"/>
        <v>0.05</v>
      </c>
      <c r="J239" s="53">
        <v>1</v>
      </c>
      <c r="K239" s="65"/>
    </row>
    <row r="240" spans="1:11" ht="15.75" x14ac:dyDescent="0.25">
      <c r="A240" s="92"/>
      <c r="B240" s="55"/>
      <c r="C240" s="92" t="s">
        <v>196</v>
      </c>
      <c r="D240" s="50">
        <v>3.7555999999999998</v>
      </c>
      <c r="E240" s="134">
        <f>+D240/$D$3*100</f>
        <v>0.51924831851429609</v>
      </c>
      <c r="F240" s="50">
        <v>5</v>
      </c>
      <c r="G240" s="50">
        <f t="shared" si="33"/>
        <v>0.18777999999999997</v>
      </c>
      <c r="H240" s="50">
        <f t="shared" si="38"/>
        <v>0.18777999999999997</v>
      </c>
      <c r="I240" s="50">
        <f t="shared" si="35"/>
        <v>4.9999999999999996E-2</v>
      </c>
      <c r="J240" s="50">
        <v>1</v>
      </c>
      <c r="K240" s="93"/>
    </row>
    <row r="241" spans="1:11" ht="15.75" x14ac:dyDescent="0.25">
      <c r="A241" s="92"/>
      <c r="B241" s="55"/>
      <c r="C241" s="92" t="s">
        <v>194</v>
      </c>
      <c r="D241" s="50">
        <v>3.9918999999999998</v>
      </c>
      <c r="E241" s="134">
        <f>+D241/$D$3*100</f>
        <v>0.55191909752828272</v>
      </c>
      <c r="F241" s="50">
        <v>5</v>
      </c>
      <c r="G241" s="50">
        <f t="shared" si="33"/>
        <v>0.19959499999999999</v>
      </c>
      <c r="H241" s="50">
        <f t="shared" si="38"/>
        <v>0.19959499999999999</v>
      </c>
      <c r="I241" s="50">
        <f t="shared" si="35"/>
        <v>0.05</v>
      </c>
      <c r="J241" s="50">
        <v>1</v>
      </c>
      <c r="K241" s="93"/>
    </row>
    <row r="242" spans="1:11" ht="15.75" x14ac:dyDescent="0.25">
      <c r="A242" s="92"/>
      <c r="B242" s="55"/>
      <c r="C242" s="92" t="s">
        <v>192</v>
      </c>
      <c r="D242" s="50">
        <v>0.253</v>
      </c>
      <c r="E242" s="134">
        <f>+D242/$D$3*100</f>
        <v>3.4979716845275566E-2</v>
      </c>
      <c r="F242" s="50">
        <v>5</v>
      </c>
      <c r="G242" s="50">
        <f t="shared" si="33"/>
        <v>1.2650000000000002E-2</v>
      </c>
      <c r="H242" s="50">
        <f t="shared" si="38"/>
        <v>1.2650000000000002E-2</v>
      </c>
      <c r="I242" s="50">
        <f t="shared" si="35"/>
        <v>0.05</v>
      </c>
      <c r="J242" s="50">
        <v>1</v>
      </c>
      <c r="K242" s="93"/>
    </row>
    <row r="243" spans="1:11" ht="15.75" x14ac:dyDescent="0.25">
      <c r="A243" s="52">
        <v>1.4</v>
      </c>
      <c r="B243" s="51" t="s">
        <v>118</v>
      </c>
      <c r="C243" s="52"/>
      <c r="D243" s="53">
        <f>+SUM(D244:D248)</f>
        <v>1.8431000000000002</v>
      </c>
      <c r="E243" s="135">
        <f t="shared" si="39"/>
        <v>0.25482654591908066</v>
      </c>
      <c r="F243" s="53">
        <v>40</v>
      </c>
      <c r="G243" s="53">
        <f t="shared" si="33"/>
        <v>0.73724000000000001</v>
      </c>
      <c r="H243" s="53">
        <f t="shared" si="38"/>
        <v>2.2117200000000001</v>
      </c>
      <c r="I243" s="53">
        <f t="shared" si="35"/>
        <v>1.2</v>
      </c>
      <c r="J243" s="53">
        <v>3</v>
      </c>
      <c r="K243" s="65"/>
    </row>
    <row r="244" spans="1:11" ht="15.75" x14ac:dyDescent="0.25">
      <c r="A244" s="52"/>
      <c r="B244" s="55" t="s">
        <v>93</v>
      </c>
      <c r="C244" s="92" t="s">
        <v>170</v>
      </c>
      <c r="D244" s="50">
        <v>0.1</v>
      </c>
      <c r="E244" s="134">
        <f t="shared" si="39"/>
        <v>1.3825975037658327E-2</v>
      </c>
      <c r="F244" s="50">
        <v>40</v>
      </c>
      <c r="G244" s="50">
        <f>+D244*F244/100</f>
        <v>0.04</v>
      </c>
      <c r="H244" s="50">
        <f>+G244*J244</f>
        <v>0.12</v>
      </c>
      <c r="I244" s="50">
        <f t="shared" si="35"/>
        <v>1.2</v>
      </c>
      <c r="J244" s="50">
        <v>3</v>
      </c>
      <c r="K244" s="65"/>
    </row>
    <row r="245" spans="1:11" ht="15.75" x14ac:dyDescent="0.25">
      <c r="A245" s="92"/>
      <c r="B245" s="152"/>
      <c r="C245" s="92" t="s">
        <v>168</v>
      </c>
      <c r="D245" s="50">
        <v>0.44</v>
      </c>
      <c r="E245" s="134">
        <f t="shared" si="39"/>
        <v>6.0834290165696643E-2</v>
      </c>
      <c r="F245" s="50">
        <v>40</v>
      </c>
      <c r="G245" s="50">
        <f>+D245*F245/100</f>
        <v>0.17600000000000002</v>
      </c>
      <c r="H245" s="50">
        <f>+G245*J245</f>
        <v>0.52800000000000002</v>
      </c>
      <c r="I245" s="50">
        <f t="shared" si="35"/>
        <v>1.2</v>
      </c>
      <c r="J245" s="50">
        <v>3</v>
      </c>
      <c r="K245" s="93"/>
    </row>
    <row r="246" spans="1:11" ht="15.75" x14ac:dyDescent="0.25">
      <c r="A246" s="92"/>
      <c r="B246" s="152"/>
      <c r="C246" s="92" t="s">
        <v>166</v>
      </c>
      <c r="D246" s="50">
        <v>0.31</v>
      </c>
      <c r="E246" s="134">
        <f t="shared" si="39"/>
        <v>4.2860522616740816E-2</v>
      </c>
      <c r="F246" s="50">
        <v>40</v>
      </c>
      <c r="G246" s="50">
        <f>+D246*F246/100</f>
        <v>0.124</v>
      </c>
      <c r="H246" s="50">
        <f>+G246*J246</f>
        <v>0.372</v>
      </c>
      <c r="I246" s="50">
        <f t="shared" si="35"/>
        <v>1.2</v>
      </c>
      <c r="J246" s="50">
        <v>3</v>
      </c>
      <c r="K246" s="93"/>
    </row>
    <row r="247" spans="1:11" ht="15.75" x14ac:dyDescent="0.25">
      <c r="A247" s="92"/>
      <c r="B247" s="55"/>
      <c r="C247" s="92" t="s">
        <v>726</v>
      </c>
      <c r="D247" s="50">
        <v>0.39779999999999999</v>
      </c>
      <c r="E247" s="134">
        <f t="shared" si="39"/>
        <v>5.4999728699804823E-2</v>
      </c>
      <c r="F247" s="50">
        <v>40</v>
      </c>
      <c r="G247" s="50">
        <f t="shared" ref="G247:G248" si="40">+D247*F247/100</f>
        <v>0.15911999999999998</v>
      </c>
      <c r="H247" s="50">
        <f t="shared" ref="H247:H248" si="41">+G247*J247</f>
        <v>0.47735999999999995</v>
      </c>
      <c r="I247" s="50">
        <f t="shared" si="35"/>
        <v>1.2</v>
      </c>
      <c r="J247" s="50">
        <v>3</v>
      </c>
      <c r="K247" s="93"/>
    </row>
    <row r="248" spans="1:11" ht="15.75" x14ac:dyDescent="0.25">
      <c r="A248" s="92"/>
      <c r="B248" s="55"/>
      <c r="C248" s="92" t="s">
        <v>833</v>
      </c>
      <c r="D248" s="50">
        <v>0.59530000000000005</v>
      </c>
      <c r="E248" s="134">
        <f t="shared" si="39"/>
        <v>8.2306029399180025E-2</v>
      </c>
      <c r="F248" s="50">
        <v>40</v>
      </c>
      <c r="G248" s="50">
        <f t="shared" si="40"/>
        <v>0.23812</v>
      </c>
      <c r="H248" s="50">
        <f t="shared" si="41"/>
        <v>0.71435999999999999</v>
      </c>
      <c r="I248" s="50">
        <f t="shared" si="35"/>
        <v>1.2</v>
      </c>
      <c r="J248" s="50">
        <v>3</v>
      </c>
      <c r="K248" s="93"/>
    </row>
    <row r="249" spans="1:11" ht="15.75" x14ac:dyDescent="0.25">
      <c r="A249" s="52">
        <v>1.5</v>
      </c>
      <c r="B249" s="51" t="s">
        <v>91</v>
      </c>
      <c r="C249" s="52"/>
      <c r="D249" s="53">
        <f>+SUM(D250:D252)</f>
        <v>0.75</v>
      </c>
      <c r="E249" s="135">
        <f t="shared" si="39"/>
        <v>0.10369481278243746</v>
      </c>
      <c r="F249" s="53">
        <v>40</v>
      </c>
      <c r="G249" s="53">
        <f>+D249*F249/100</f>
        <v>0.3</v>
      </c>
      <c r="H249" s="53">
        <f>+G249*J249</f>
        <v>0.89999999999999991</v>
      </c>
      <c r="I249" s="53">
        <f t="shared" si="35"/>
        <v>1.2</v>
      </c>
      <c r="J249" s="53">
        <f>+J250</f>
        <v>3</v>
      </c>
      <c r="K249" s="65"/>
    </row>
    <row r="250" spans="1:11" ht="15.75" x14ac:dyDescent="0.25">
      <c r="A250" s="92"/>
      <c r="B250" s="55"/>
      <c r="C250" s="92" t="s">
        <v>276</v>
      </c>
      <c r="D250" s="50">
        <v>0.14000000000000001</v>
      </c>
      <c r="E250" s="134">
        <f t="shared" si="39"/>
        <v>1.9356365052721661E-2</v>
      </c>
      <c r="F250" s="50">
        <v>40</v>
      </c>
      <c r="G250" s="50">
        <f>+D250*F250/100</f>
        <v>5.6000000000000008E-2</v>
      </c>
      <c r="H250" s="50">
        <f>+G250*J250</f>
        <v>0.16800000000000004</v>
      </c>
      <c r="I250" s="50">
        <f t="shared" si="35"/>
        <v>1.2000000000000002</v>
      </c>
      <c r="J250" s="50">
        <v>3</v>
      </c>
      <c r="K250" s="93"/>
    </row>
    <row r="251" spans="1:11" ht="15.75" x14ac:dyDescent="0.25">
      <c r="A251" s="92"/>
      <c r="B251" s="55"/>
      <c r="C251" s="92" t="s">
        <v>272</v>
      </c>
      <c r="D251" s="50">
        <v>0.1</v>
      </c>
      <c r="E251" s="134">
        <f t="shared" si="39"/>
        <v>1.3825975037658327E-2</v>
      </c>
      <c r="F251" s="50">
        <v>40</v>
      </c>
      <c r="G251" s="50">
        <f>+D251*F251/100</f>
        <v>0.04</v>
      </c>
      <c r="H251" s="50">
        <f>+G251*J251</f>
        <v>0.12</v>
      </c>
      <c r="I251" s="50">
        <f t="shared" si="35"/>
        <v>1.2</v>
      </c>
      <c r="J251" s="50">
        <v>3</v>
      </c>
      <c r="K251" s="93"/>
    </row>
    <row r="252" spans="1:11" ht="15.75" x14ac:dyDescent="0.25">
      <c r="A252" s="92"/>
      <c r="B252" s="55"/>
      <c r="C252" s="92" t="s">
        <v>274</v>
      </c>
      <c r="D252" s="50">
        <v>0.51</v>
      </c>
      <c r="E252" s="134">
        <f t="shared" si="39"/>
        <v>7.051247269205746E-2</v>
      </c>
      <c r="F252" s="50">
        <v>40</v>
      </c>
      <c r="G252" s="50">
        <f>+D252*F252/100</f>
        <v>0.20399999999999999</v>
      </c>
      <c r="H252" s="50">
        <f>+G252*J252</f>
        <v>0.61199999999999999</v>
      </c>
      <c r="I252" s="50">
        <f t="shared" si="35"/>
        <v>1.2</v>
      </c>
      <c r="J252" s="50">
        <v>3</v>
      </c>
      <c r="K252" s="93"/>
    </row>
    <row r="253" spans="1:11" ht="15.75" x14ac:dyDescent="0.25">
      <c r="A253" s="237">
        <v>2</v>
      </c>
      <c r="B253" s="238" t="s">
        <v>596</v>
      </c>
      <c r="C253" s="237"/>
      <c r="D253" s="239">
        <f>+SUM(D254:D256)</f>
        <v>1.6099999999999999</v>
      </c>
      <c r="E253" s="240">
        <f t="shared" si="39"/>
        <v>0.22259819810629905</v>
      </c>
      <c r="F253" s="239">
        <v>5</v>
      </c>
      <c r="G253" s="239">
        <f t="shared" ref="G253:G256" si="42">+D253*F253/100</f>
        <v>8.0499999999999988E-2</v>
      </c>
      <c r="H253" s="239">
        <f t="shared" ref="H253:H261" si="43">+G253*J253</f>
        <v>8.0499999999999988E-2</v>
      </c>
      <c r="I253" s="239">
        <f t="shared" si="35"/>
        <v>4.9999999999999996E-2</v>
      </c>
      <c r="J253" s="239">
        <v>1</v>
      </c>
      <c r="K253" s="241"/>
    </row>
    <row r="254" spans="1:11" ht="15.75" x14ac:dyDescent="0.25">
      <c r="A254" s="92"/>
      <c r="B254" s="55"/>
      <c r="C254" s="92" t="s">
        <v>619</v>
      </c>
      <c r="D254" s="50">
        <v>0.25</v>
      </c>
      <c r="E254" s="134">
        <f t="shared" si="39"/>
        <v>3.4564937594145813E-2</v>
      </c>
      <c r="F254" s="50">
        <v>5</v>
      </c>
      <c r="G254" s="50">
        <f t="shared" si="42"/>
        <v>1.2500000000000001E-2</v>
      </c>
      <c r="H254" s="50">
        <f t="shared" si="43"/>
        <v>1.2500000000000001E-2</v>
      </c>
      <c r="I254" s="50">
        <f t="shared" si="35"/>
        <v>0.05</v>
      </c>
      <c r="J254" s="50">
        <v>1</v>
      </c>
      <c r="K254" s="93"/>
    </row>
    <row r="255" spans="1:11" ht="15.75" x14ac:dyDescent="0.25">
      <c r="A255" s="92"/>
      <c r="B255" s="55"/>
      <c r="C255" s="92" t="s">
        <v>620</v>
      </c>
      <c r="D255" s="50">
        <v>0.23</v>
      </c>
      <c r="E255" s="134">
        <f t="shared" si="39"/>
        <v>3.1799742586614152E-2</v>
      </c>
      <c r="F255" s="50">
        <v>5</v>
      </c>
      <c r="G255" s="50">
        <f t="shared" si="42"/>
        <v>1.1500000000000002E-2</v>
      </c>
      <c r="H255" s="50">
        <f t="shared" si="43"/>
        <v>1.1500000000000002E-2</v>
      </c>
      <c r="I255" s="50">
        <f t="shared" si="35"/>
        <v>0.05</v>
      </c>
      <c r="J255" s="50">
        <v>1</v>
      </c>
      <c r="K255" s="93"/>
    </row>
    <row r="256" spans="1:11" ht="15.75" x14ac:dyDescent="0.25">
      <c r="A256" s="92"/>
      <c r="B256" s="55"/>
      <c r="C256" s="92" t="s">
        <v>747</v>
      </c>
      <c r="D256" s="50">
        <v>1.1299999999999999</v>
      </c>
      <c r="E256" s="134">
        <f t="shared" si="39"/>
        <v>0.15623351792553908</v>
      </c>
      <c r="F256" s="50">
        <v>5</v>
      </c>
      <c r="G256" s="50">
        <f t="shared" si="42"/>
        <v>5.6499999999999995E-2</v>
      </c>
      <c r="H256" s="50">
        <f t="shared" si="43"/>
        <v>5.6499999999999995E-2</v>
      </c>
      <c r="I256" s="50">
        <f t="shared" si="35"/>
        <v>0.05</v>
      </c>
      <c r="J256" s="50">
        <v>1</v>
      </c>
      <c r="K256" s="93"/>
    </row>
    <row r="257" spans="1:11" ht="15.75" x14ac:dyDescent="0.25">
      <c r="A257" s="237">
        <v>3</v>
      </c>
      <c r="B257" s="238" t="s">
        <v>618</v>
      </c>
      <c r="C257" s="237"/>
      <c r="D257" s="239">
        <f>+SUM(D258:D261)</f>
        <v>2.1124999999999998</v>
      </c>
      <c r="E257" s="240">
        <f t="shared" si="39"/>
        <v>0.29207372267053211</v>
      </c>
      <c r="F257" s="239">
        <v>40</v>
      </c>
      <c r="G257" s="239">
        <f>+D257*F257/100</f>
        <v>0.84499999999999997</v>
      </c>
      <c r="H257" s="239">
        <f t="shared" si="43"/>
        <v>4.2249999999999996</v>
      </c>
      <c r="I257" s="239">
        <f t="shared" si="35"/>
        <v>2</v>
      </c>
      <c r="J257" s="239">
        <v>5</v>
      </c>
      <c r="K257" s="241"/>
    </row>
    <row r="258" spans="1:11" ht="15.75" x14ac:dyDescent="0.25">
      <c r="A258" s="92"/>
      <c r="B258" s="55"/>
      <c r="C258" s="92" t="s">
        <v>388</v>
      </c>
      <c r="D258" s="50">
        <v>0.45279999999999998</v>
      </c>
      <c r="E258" s="134">
        <f t="shared" si="39"/>
        <v>6.2604014970516902E-2</v>
      </c>
      <c r="F258" s="50">
        <v>40</v>
      </c>
      <c r="G258" s="50">
        <f>+D258*F258/100</f>
        <v>0.18111999999999998</v>
      </c>
      <c r="H258" s="50">
        <f t="shared" si="43"/>
        <v>0.90559999999999985</v>
      </c>
      <c r="I258" s="50">
        <f t="shared" ref="I258:I300" si="44">+H258/D258</f>
        <v>1.9999999999999998</v>
      </c>
      <c r="J258" s="50">
        <v>5</v>
      </c>
      <c r="K258" s="93"/>
    </row>
    <row r="259" spans="1:11" ht="15.75" x14ac:dyDescent="0.25">
      <c r="A259" s="92"/>
      <c r="B259" s="55"/>
      <c r="C259" s="92" t="s">
        <v>386</v>
      </c>
      <c r="D259" s="50">
        <v>1.2043999999999999</v>
      </c>
      <c r="E259" s="134">
        <f t="shared" si="39"/>
        <v>0.16652004335355686</v>
      </c>
      <c r="F259" s="50">
        <v>40</v>
      </c>
      <c r="G259" s="50">
        <f>+D259*F259/100</f>
        <v>0.48175999999999997</v>
      </c>
      <c r="H259" s="50">
        <f t="shared" si="43"/>
        <v>2.4087999999999998</v>
      </c>
      <c r="I259" s="50">
        <f t="shared" si="44"/>
        <v>2</v>
      </c>
      <c r="J259" s="50">
        <v>5</v>
      </c>
      <c r="K259" s="93"/>
    </row>
    <row r="260" spans="1:11" ht="15.75" x14ac:dyDescent="0.25">
      <c r="A260" s="92"/>
      <c r="B260" s="55"/>
      <c r="C260" s="92" t="s">
        <v>384</v>
      </c>
      <c r="D260" s="50">
        <v>0.31319999999999998</v>
      </c>
      <c r="E260" s="134">
        <f t="shared" si="39"/>
        <v>4.3302953817945876E-2</v>
      </c>
      <c r="F260" s="50">
        <v>40</v>
      </c>
      <c r="G260" s="50">
        <f t="shared" ref="G260" si="45">+D260*F260/100</f>
        <v>0.12527999999999997</v>
      </c>
      <c r="H260" s="50">
        <f t="shared" si="43"/>
        <v>0.62639999999999985</v>
      </c>
      <c r="I260" s="50">
        <f t="shared" si="44"/>
        <v>1.9999999999999996</v>
      </c>
      <c r="J260" s="50">
        <v>5</v>
      </c>
      <c r="K260" s="93"/>
    </row>
    <row r="261" spans="1:11" ht="15.75" x14ac:dyDescent="0.25">
      <c r="A261" s="218"/>
      <c r="B261" s="144"/>
      <c r="C261" s="92" t="s">
        <v>382</v>
      </c>
      <c r="D261" s="50">
        <v>0.1421</v>
      </c>
      <c r="E261" s="134">
        <f t="shared" si="39"/>
        <v>1.9646710528512482E-2</v>
      </c>
      <c r="F261" s="50">
        <v>40</v>
      </c>
      <c r="G261" s="50">
        <f>+D261*F261/100</f>
        <v>5.6840000000000002E-2</v>
      </c>
      <c r="H261" s="50">
        <f t="shared" si="43"/>
        <v>0.28420000000000001</v>
      </c>
      <c r="I261" s="50">
        <f t="shared" si="44"/>
        <v>2</v>
      </c>
      <c r="J261" s="50">
        <v>5</v>
      </c>
      <c r="K261" s="93"/>
    </row>
    <row r="262" spans="1:11" ht="15.75" x14ac:dyDescent="0.25">
      <c r="A262" s="233" t="s">
        <v>607</v>
      </c>
      <c r="B262" s="234" t="s">
        <v>595</v>
      </c>
      <c r="C262" s="233"/>
      <c r="D262" s="235">
        <f>+D263+D270+D271+D272+D275+D282+D283+D291+D287+D295+D301</f>
        <v>100.35849999999999</v>
      </c>
      <c r="E262" s="235">
        <f t="shared" si="39"/>
        <v>13.87554115816833</v>
      </c>
      <c r="F262" s="235"/>
      <c r="G262" s="235">
        <f>+G263+G270+G271+G272+G275+G282+G283+G287+G295+G301</f>
        <v>29.993319999999997</v>
      </c>
      <c r="H262" s="235"/>
      <c r="I262" s="242"/>
      <c r="J262" s="235"/>
      <c r="K262" s="236"/>
    </row>
    <row r="263" spans="1:11" ht="15.75" x14ac:dyDescent="0.25">
      <c r="A263" s="237">
        <v>1</v>
      </c>
      <c r="B263" s="238" t="s">
        <v>96</v>
      </c>
      <c r="C263" s="237"/>
      <c r="D263" s="239">
        <f>+SUM(D264:D269)</f>
        <v>31.1922</v>
      </c>
      <c r="E263" s="240">
        <f t="shared" si="39"/>
        <v>4.3126257856964605</v>
      </c>
      <c r="F263" s="239">
        <f>+F264</f>
        <v>60</v>
      </c>
      <c r="G263" s="239">
        <f>+D263*F263/100</f>
        <v>18.715319999999998</v>
      </c>
      <c r="H263" s="239">
        <f>+G263*J263</f>
        <v>56.145959999999995</v>
      </c>
      <c r="I263" s="239">
        <f t="shared" si="44"/>
        <v>1.7999999999999998</v>
      </c>
      <c r="J263" s="239">
        <f>+J264</f>
        <v>3</v>
      </c>
      <c r="K263" s="241"/>
    </row>
    <row r="264" spans="1:11" ht="15.75" x14ac:dyDescent="0.25">
      <c r="A264" s="92"/>
      <c r="B264" s="55"/>
      <c r="C264" s="92" t="s">
        <v>356</v>
      </c>
      <c r="D264" s="50">
        <v>4.9183000000000003</v>
      </c>
      <c r="E264" s="134">
        <f t="shared" si="39"/>
        <v>0.68000293027714953</v>
      </c>
      <c r="F264" s="50">
        <v>60</v>
      </c>
      <c r="G264" s="50">
        <f>+D264*F264/100</f>
        <v>2.9509799999999999</v>
      </c>
      <c r="H264" s="50">
        <f>+G264*J264</f>
        <v>8.8529400000000003</v>
      </c>
      <c r="I264" s="50">
        <f t="shared" si="44"/>
        <v>1.7999999999999998</v>
      </c>
      <c r="J264" s="50">
        <v>3</v>
      </c>
      <c r="K264" s="93"/>
    </row>
    <row r="265" spans="1:11" ht="15.75" x14ac:dyDescent="0.25">
      <c r="A265" s="92"/>
      <c r="B265" s="55"/>
      <c r="C265" s="92" t="s">
        <v>358</v>
      </c>
      <c r="D265" s="50">
        <v>6.0224000000000002</v>
      </c>
      <c r="E265" s="134">
        <f t="shared" si="39"/>
        <v>0.83265552066793502</v>
      </c>
      <c r="F265" s="50">
        <v>60</v>
      </c>
      <c r="G265" s="50">
        <f t="shared" ref="G265:G270" si="46">+D265*F265/100</f>
        <v>3.6134399999999998</v>
      </c>
      <c r="H265" s="50">
        <f t="shared" ref="H265:H270" si="47">+G265*J265</f>
        <v>10.840319999999998</v>
      </c>
      <c r="I265" s="50">
        <f t="shared" si="44"/>
        <v>1.7999999999999996</v>
      </c>
      <c r="J265" s="50">
        <v>3</v>
      </c>
      <c r="K265" s="93"/>
    </row>
    <row r="266" spans="1:11" ht="15.75" x14ac:dyDescent="0.25">
      <c r="A266" s="92"/>
      <c r="B266" s="55"/>
      <c r="C266" s="92" t="s">
        <v>352</v>
      </c>
      <c r="D266" s="50">
        <v>7.3712999999999997</v>
      </c>
      <c r="E266" s="134">
        <f t="shared" si="39"/>
        <v>1.0191540979509082</v>
      </c>
      <c r="F266" s="50">
        <v>60</v>
      </c>
      <c r="G266" s="50">
        <f t="shared" si="46"/>
        <v>4.4227799999999995</v>
      </c>
      <c r="H266" s="50">
        <f t="shared" si="47"/>
        <v>13.268339999999998</v>
      </c>
      <c r="I266" s="50">
        <f t="shared" si="44"/>
        <v>1.7999999999999998</v>
      </c>
      <c r="J266" s="50">
        <v>3</v>
      </c>
      <c r="K266" s="93"/>
    </row>
    <row r="267" spans="1:11" ht="15.75" x14ac:dyDescent="0.25">
      <c r="A267" s="92"/>
      <c r="B267" s="55"/>
      <c r="C267" s="92" t="s">
        <v>354</v>
      </c>
      <c r="D267" s="50">
        <v>6.1215000000000002</v>
      </c>
      <c r="E267" s="134">
        <f t="shared" si="39"/>
        <v>0.84635706193025451</v>
      </c>
      <c r="F267" s="50">
        <v>60</v>
      </c>
      <c r="G267" s="50">
        <f t="shared" si="46"/>
        <v>3.6729000000000003</v>
      </c>
      <c r="H267" s="50">
        <f t="shared" si="47"/>
        <v>11.018700000000001</v>
      </c>
      <c r="I267" s="50">
        <f t="shared" si="44"/>
        <v>1.8</v>
      </c>
      <c r="J267" s="50">
        <v>3</v>
      </c>
      <c r="K267" s="93"/>
    </row>
    <row r="268" spans="1:11" ht="15.75" x14ac:dyDescent="0.25">
      <c r="A268" s="92"/>
      <c r="B268" s="55"/>
      <c r="C268" s="92" t="s">
        <v>350</v>
      </c>
      <c r="D268" s="50">
        <v>3.7294</v>
      </c>
      <c r="E268" s="134">
        <f t="shared" si="39"/>
        <v>0.51562591305442962</v>
      </c>
      <c r="F268" s="50">
        <v>60</v>
      </c>
      <c r="G268" s="50">
        <f t="shared" si="46"/>
        <v>2.2376400000000003</v>
      </c>
      <c r="H268" s="50">
        <f t="shared" si="47"/>
        <v>6.7129200000000004</v>
      </c>
      <c r="I268" s="50">
        <f t="shared" si="44"/>
        <v>1.8</v>
      </c>
      <c r="J268" s="50">
        <v>3</v>
      </c>
      <c r="K268" s="93"/>
    </row>
    <row r="269" spans="1:11" ht="15.75" x14ac:dyDescent="0.25">
      <c r="A269" s="92"/>
      <c r="B269" s="55"/>
      <c r="C269" s="92" t="s">
        <v>348</v>
      </c>
      <c r="D269" s="50">
        <v>3.0293000000000001</v>
      </c>
      <c r="E269" s="134">
        <f t="shared" si="39"/>
        <v>0.4188302618157837</v>
      </c>
      <c r="F269" s="50">
        <v>60</v>
      </c>
      <c r="G269" s="50">
        <f t="shared" si="46"/>
        <v>1.8175800000000002</v>
      </c>
      <c r="H269" s="50">
        <f t="shared" si="47"/>
        <v>5.4527400000000004</v>
      </c>
      <c r="I269" s="50">
        <f t="shared" si="44"/>
        <v>1.8</v>
      </c>
      <c r="J269" s="50">
        <v>3</v>
      </c>
      <c r="K269" s="93"/>
    </row>
    <row r="270" spans="1:11" ht="15.75" x14ac:dyDescent="0.25">
      <c r="A270" s="237">
        <v>2</v>
      </c>
      <c r="B270" s="238" t="s">
        <v>97</v>
      </c>
      <c r="C270" s="237" t="s">
        <v>635</v>
      </c>
      <c r="D270" s="239">
        <v>0.32</v>
      </c>
      <c r="E270" s="240">
        <f t="shared" si="39"/>
        <v>4.4243120120506643E-2</v>
      </c>
      <c r="F270" s="239">
        <v>40</v>
      </c>
      <c r="G270" s="239">
        <f t="shared" si="46"/>
        <v>0.128</v>
      </c>
      <c r="H270" s="239">
        <f t="shared" si="47"/>
        <v>0.64</v>
      </c>
      <c r="I270" s="239">
        <f t="shared" si="44"/>
        <v>2</v>
      </c>
      <c r="J270" s="239">
        <v>5</v>
      </c>
      <c r="K270" s="241"/>
    </row>
    <row r="271" spans="1:11" ht="15.75" x14ac:dyDescent="0.25">
      <c r="A271" s="237">
        <v>3</v>
      </c>
      <c r="B271" s="238" t="s">
        <v>630</v>
      </c>
      <c r="C271" s="237" t="s">
        <v>376</v>
      </c>
      <c r="D271" s="239">
        <v>0.68</v>
      </c>
      <c r="E271" s="240">
        <f t="shared" si="39"/>
        <v>9.4016630256076622E-2</v>
      </c>
      <c r="F271" s="239">
        <v>40</v>
      </c>
      <c r="G271" s="239">
        <f>+D271*F271/100</f>
        <v>0.27200000000000002</v>
      </c>
      <c r="H271" s="239">
        <f>+G271*J271</f>
        <v>1.36</v>
      </c>
      <c r="I271" s="239">
        <f t="shared" si="44"/>
        <v>2</v>
      </c>
      <c r="J271" s="239">
        <v>5</v>
      </c>
      <c r="K271" s="241"/>
    </row>
    <row r="272" spans="1:11" ht="15.75" x14ac:dyDescent="0.25">
      <c r="A272" s="237">
        <v>4</v>
      </c>
      <c r="B272" s="238" t="s">
        <v>98</v>
      </c>
      <c r="C272" s="237"/>
      <c r="D272" s="239">
        <f>+D273+D274</f>
        <v>0.9</v>
      </c>
      <c r="E272" s="240">
        <f t="shared" si="39"/>
        <v>0.12443377533892495</v>
      </c>
      <c r="F272" s="239">
        <v>40</v>
      </c>
      <c r="G272" s="239">
        <f>+D272*F272/100</f>
        <v>0.36</v>
      </c>
      <c r="H272" s="239">
        <f>+G272*J272</f>
        <v>1.7999999999999998</v>
      </c>
      <c r="I272" s="239">
        <f t="shared" si="44"/>
        <v>1.9999999999999998</v>
      </c>
      <c r="J272" s="239">
        <v>5</v>
      </c>
      <c r="K272" s="241"/>
    </row>
    <row r="273" spans="1:11" ht="15.75" x14ac:dyDescent="0.25">
      <c r="A273" s="92"/>
      <c r="B273" s="55"/>
      <c r="C273" s="92" t="s">
        <v>727</v>
      </c>
      <c r="D273" s="50">
        <v>0.24</v>
      </c>
      <c r="E273" s="134">
        <f t="shared" si="39"/>
        <v>3.3182340090379979E-2</v>
      </c>
      <c r="F273" s="50">
        <v>40</v>
      </c>
      <c r="G273" s="50">
        <f>+D273*F273/100</f>
        <v>9.6000000000000002E-2</v>
      </c>
      <c r="H273" s="50">
        <f>+G273*J273</f>
        <v>0.48</v>
      </c>
      <c r="I273" s="50">
        <f t="shared" si="44"/>
        <v>2</v>
      </c>
      <c r="J273" s="50">
        <v>5</v>
      </c>
      <c r="K273" s="93"/>
    </row>
    <row r="274" spans="1:11" ht="15.75" x14ac:dyDescent="0.25">
      <c r="A274" s="92"/>
      <c r="B274" s="55"/>
      <c r="C274" s="92" t="s">
        <v>728</v>
      </c>
      <c r="D274" s="50">
        <v>0.66</v>
      </c>
      <c r="E274" s="134">
        <f t="shared" si="39"/>
        <v>9.1251435248544954E-2</v>
      </c>
      <c r="F274" s="50">
        <v>40</v>
      </c>
      <c r="G274" s="50">
        <f>+D274*F274/100</f>
        <v>0.26400000000000001</v>
      </c>
      <c r="H274" s="50">
        <f>+G274*J274</f>
        <v>1.32</v>
      </c>
      <c r="I274" s="50">
        <f t="shared" si="44"/>
        <v>2</v>
      </c>
      <c r="J274" s="50">
        <v>5</v>
      </c>
      <c r="K274" s="93"/>
    </row>
    <row r="275" spans="1:11" ht="15.75" x14ac:dyDescent="0.25">
      <c r="A275" s="237">
        <v>5</v>
      </c>
      <c r="B275" s="238" t="s">
        <v>99</v>
      </c>
      <c r="C275" s="237"/>
      <c r="D275" s="239">
        <f>+SUM(D276:D281)</f>
        <v>3.2499999999999996</v>
      </c>
      <c r="E275" s="240">
        <f t="shared" si="39"/>
        <v>0.44934418872389559</v>
      </c>
      <c r="F275" s="239">
        <f>G275/D275*100</f>
        <v>43.015384615384619</v>
      </c>
      <c r="G275" s="239">
        <f>SUM(G276:G281)</f>
        <v>1.3979999999999999</v>
      </c>
      <c r="H275" s="239"/>
      <c r="I275" s="239"/>
      <c r="J275" s="239" t="s">
        <v>835</v>
      </c>
      <c r="K275" s="241"/>
    </row>
    <row r="276" spans="1:11" ht="15.75" x14ac:dyDescent="0.25">
      <c r="A276" s="92"/>
      <c r="B276" s="55"/>
      <c r="C276" s="92" t="s">
        <v>621</v>
      </c>
      <c r="D276" s="50">
        <v>0.22</v>
      </c>
      <c r="E276" s="134">
        <f t="shared" si="39"/>
        <v>3.0417145082848322E-2</v>
      </c>
      <c r="F276" s="50">
        <v>50</v>
      </c>
      <c r="G276" s="50">
        <f>+D276*F276/100</f>
        <v>0.11</v>
      </c>
      <c r="H276" s="50">
        <f>+G276*J276</f>
        <v>0.33</v>
      </c>
      <c r="I276" s="50">
        <f t="shared" si="44"/>
        <v>1.5</v>
      </c>
      <c r="J276" s="50">
        <v>3</v>
      </c>
      <c r="K276" s="93"/>
    </row>
    <row r="277" spans="1:11" ht="15.75" x14ac:dyDescent="0.25">
      <c r="A277" s="92"/>
      <c r="B277" s="55"/>
      <c r="C277" s="92" t="s">
        <v>622</v>
      </c>
      <c r="D277" s="50">
        <v>0.19</v>
      </c>
      <c r="E277" s="134">
        <f t="shared" si="39"/>
        <v>2.6269352571550823E-2</v>
      </c>
      <c r="F277" s="50">
        <v>40</v>
      </c>
      <c r="G277" s="50">
        <f t="shared" ref="G277:G282" si="48">+D277*F277/100</f>
        <v>7.5999999999999998E-2</v>
      </c>
      <c r="H277" s="50">
        <f t="shared" ref="H277:H282" si="49">+G277*J277</f>
        <v>0.22799999999999998</v>
      </c>
      <c r="I277" s="50">
        <f t="shared" si="44"/>
        <v>1.2</v>
      </c>
      <c r="J277" s="50">
        <v>3</v>
      </c>
      <c r="K277" s="93"/>
    </row>
    <row r="278" spans="1:11" ht="15.75" x14ac:dyDescent="0.25">
      <c r="A278" s="92"/>
      <c r="B278" s="55"/>
      <c r="C278" s="92" t="s">
        <v>625</v>
      </c>
      <c r="D278" s="50">
        <v>1.18</v>
      </c>
      <c r="E278" s="134">
        <f t="shared" si="39"/>
        <v>0.16314650544436826</v>
      </c>
      <c r="F278" s="50">
        <v>40</v>
      </c>
      <c r="G278" s="50">
        <f t="shared" si="48"/>
        <v>0.47199999999999998</v>
      </c>
      <c r="H278" s="50">
        <f t="shared" si="49"/>
        <v>1.4159999999999999</v>
      </c>
      <c r="I278" s="50">
        <f t="shared" si="44"/>
        <v>1.2</v>
      </c>
      <c r="J278" s="50">
        <v>3</v>
      </c>
      <c r="K278" s="93"/>
    </row>
    <row r="279" spans="1:11" ht="15.75" x14ac:dyDescent="0.25">
      <c r="A279" s="92"/>
      <c r="B279" s="55"/>
      <c r="C279" s="92" t="s">
        <v>626</v>
      </c>
      <c r="D279" s="50">
        <v>0.76</v>
      </c>
      <c r="E279" s="134">
        <f t="shared" si="39"/>
        <v>0.10507741028620329</v>
      </c>
      <c r="F279" s="50">
        <v>50</v>
      </c>
      <c r="G279" s="50">
        <f>+D279*F279/100</f>
        <v>0.38</v>
      </c>
      <c r="H279" s="50">
        <f>+G279*J279</f>
        <v>2.66</v>
      </c>
      <c r="I279" s="50">
        <f t="shared" si="44"/>
        <v>3.5</v>
      </c>
      <c r="J279" s="50">
        <v>7</v>
      </c>
      <c r="K279" s="93"/>
    </row>
    <row r="280" spans="1:11" ht="15.75" x14ac:dyDescent="0.25">
      <c r="A280" s="92"/>
      <c r="B280" s="55"/>
      <c r="C280" s="92" t="s">
        <v>753</v>
      </c>
      <c r="D280" s="50">
        <v>0.23</v>
      </c>
      <c r="E280" s="134">
        <f t="shared" si="39"/>
        <v>3.1799742586614152E-2</v>
      </c>
      <c r="F280" s="50">
        <v>40</v>
      </c>
      <c r="G280" s="50">
        <f>+D280*F280/100</f>
        <v>9.2000000000000012E-2</v>
      </c>
      <c r="H280" s="50">
        <f>+G280*J280</f>
        <v>0.46000000000000008</v>
      </c>
      <c r="I280" s="50">
        <f t="shared" si="44"/>
        <v>2.0000000000000004</v>
      </c>
      <c r="J280" s="50">
        <v>5</v>
      </c>
      <c r="K280" s="93"/>
    </row>
    <row r="281" spans="1:11" ht="15.75" x14ac:dyDescent="0.25">
      <c r="A281" s="92"/>
      <c r="B281" s="55"/>
      <c r="C281" s="92" t="s">
        <v>834</v>
      </c>
      <c r="D281" s="50">
        <v>0.67</v>
      </c>
      <c r="E281" s="134">
        <f t="shared" si="39"/>
        <v>9.2634032752310788E-2</v>
      </c>
      <c r="F281" s="50">
        <v>40</v>
      </c>
      <c r="G281" s="50">
        <f t="shared" ref="G281" si="50">+D281*F281/100</f>
        <v>0.26800000000000002</v>
      </c>
      <c r="H281" s="50">
        <f t="shared" ref="H281" si="51">+G281*J281</f>
        <v>2.4119999999999999</v>
      </c>
      <c r="I281" s="50">
        <f t="shared" si="44"/>
        <v>3.5999999999999996</v>
      </c>
      <c r="J281" s="50">
        <v>9</v>
      </c>
      <c r="K281" s="93"/>
    </row>
    <row r="282" spans="1:11" ht="15.75" x14ac:dyDescent="0.25">
      <c r="A282" s="237">
        <v>6</v>
      </c>
      <c r="B282" s="238" t="s">
        <v>101</v>
      </c>
      <c r="C282" s="237" t="s">
        <v>4</v>
      </c>
      <c r="D282" s="239">
        <v>0.94</v>
      </c>
      <c r="E282" s="240">
        <f t="shared" si="39"/>
        <v>0.12996416535398825</v>
      </c>
      <c r="F282" s="239">
        <v>40</v>
      </c>
      <c r="G282" s="239">
        <f t="shared" si="48"/>
        <v>0.37599999999999995</v>
      </c>
      <c r="H282" s="239">
        <f t="shared" si="49"/>
        <v>0.37599999999999995</v>
      </c>
      <c r="I282" s="239">
        <f t="shared" si="44"/>
        <v>0.39999999999999997</v>
      </c>
      <c r="J282" s="239">
        <v>1</v>
      </c>
      <c r="K282" s="241"/>
    </row>
    <row r="283" spans="1:11" ht="15.75" x14ac:dyDescent="0.25">
      <c r="A283" s="237">
        <v>7</v>
      </c>
      <c r="B283" s="238" t="s">
        <v>102</v>
      </c>
      <c r="C283" s="237"/>
      <c r="D283" s="239">
        <f>+SUM(D284:D286)</f>
        <v>5.15</v>
      </c>
      <c r="E283" s="240">
        <f t="shared" si="39"/>
        <v>0.71203771443940389</v>
      </c>
      <c r="F283" s="239">
        <f>+F284</f>
        <v>40</v>
      </c>
      <c r="G283" s="239">
        <f>+D283*F283/100</f>
        <v>2.06</v>
      </c>
      <c r="H283" s="239">
        <f>+G283*J283</f>
        <v>10.3</v>
      </c>
      <c r="I283" s="239">
        <f t="shared" si="44"/>
        <v>2</v>
      </c>
      <c r="J283" s="239">
        <v>5</v>
      </c>
      <c r="K283" s="241"/>
    </row>
    <row r="284" spans="1:11" ht="15.75" x14ac:dyDescent="0.25">
      <c r="A284" s="92"/>
      <c r="B284" s="55"/>
      <c r="C284" s="92" t="s">
        <v>286</v>
      </c>
      <c r="D284" s="50">
        <v>0.27</v>
      </c>
      <c r="E284" s="134">
        <f t="shared" ref="E284:E353" si="52">+D284/$D$3*100</f>
        <v>3.7330132601677488E-2</v>
      </c>
      <c r="F284" s="50">
        <v>40</v>
      </c>
      <c r="G284" s="50">
        <f>+D284*F284/100</f>
        <v>0.10800000000000001</v>
      </c>
      <c r="H284" s="50">
        <f>+G284*J284</f>
        <v>0.54</v>
      </c>
      <c r="I284" s="50">
        <f t="shared" si="44"/>
        <v>2</v>
      </c>
      <c r="J284" s="50">
        <v>5</v>
      </c>
      <c r="K284" s="93"/>
    </row>
    <row r="285" spans="1:11" ht="15.75" x14ac:dyDescent="0.25">
      <c r="A285" s="92"/>
      <c r="B285" s="55"/>
      <c r="C285" s="92" t="s">
        <v>284</v>
      </c>
      <c r="D285" s="50">
        <v>0.33</v>
      </c>
      <c r="E285" s="134">
        <f t="shared" si="52"/>
        <v>4.5625717624272477E-2</v>
      </c>
      <c r="F285" s="50">
        <v>40</v>
      </c>
      <c r="G285" s="50">
        <f t="shared" ref="G285" si="53">+D285*F285/100</f>
        <v>0.13200000000000001</v>
      </c>
      <c r="H285" s="50">
        <f t="shared" ref="H285" si="54">+G285*J285</f>
        <v>0.66</v>
      </c>
      <c r="I285" s="50">
        <f t="shared" si="44"/>
        <v>2</v>
      </c>
      <c r="J285" s="50">
        <v>5</v>
      </c>
      <c r="K285" s="93"/>
    </row>
    <row r="286" spans="1:11" ht="15.75" x14ac:dyDescent="0.25">
      <c r="A286" s="92"/>
      <c r="B286" s="55"/>
      <c r="C286" s="92" t="s">
        <v>282</v>
      </c>
      <c r="D286" s="50">
        <v>4.55</v>
      </c>
      <c r="E286" s="134">
        <f t="shared" si="52"/>
        <v>0.6290818642134538</v>
      </c>
      <c r="F286" s="50">
        <v>40</v>
      </c>
      <c r="G286" s="50">
        <f>+D286*F286/100</f>
        <v>1.82</v>
      </c>
      <c r="H286" s="50">
        <f>+G286*J286</f>
        <v>9.1</v>
      </c>
      <c r="I286" s="50">
        <f t="shared" si="44"/>
        <v>2</v>
      </c>
      <c r="J286" s="50">
        <v>5</v>
      </c>
      <c r="K286" s="93"/>
    </row>
    <row r="287" spans="1:11" ht="15.75" x14ac:dyDescent="0.25">
      <c r="A287" s="237">
        <v>8</v>
      </c>
      <c r="B287" s="238" t="s">
        <v>104</v>
      </c>
      <c r="C287" s="237"/>
      <c r="D287" s="239">
        <f>+SUM(D288:D290)</f>
        <v>0.67</v>
      </c>
      <c r="E287" s="240">
        <f t="shared" si="52"/>
        <v>9.2634032752310788E-2</v>
      </c>
      <c r="F287" s="239">
        <f>+F288</f>
        <v>40</v>
      </c>
      <c r="G287" s="239">
        <f>+D287*F287/100</f>
        <v>0.26800000000000002</v>
      </c>
      <c r="H287" s="239">
        <f>+G287*J287</f>
        <v>0.26800000000000002</v>
      </c>
      <c r="I287" s="239">
        <f t="shared" si="44"/>
        <v>0.4</v>
      </c>
      <c r="J287" s="239">
        <f>+J288</f>
        <v>1</v>
      </c>
      <c r="K287" s="241"/>
    </row>
    <row r="288" spans="1:11" ht="15.75" x14ac:dyDescent="0.25">
      <c r="A288" s="92"/>
      <c r="B288" s="55"/>
      <c r="C288" s="92" t="s">
        <v>336</v>
      </c>
      <c r="D288" s="50">
        <v>0.32</v>
      </c>
      <c r="E288" s="134">
        <f t="shared" si="52"/>
        <v>4.4243120120506643E-2</v>
      </c>
      <c r="F288" s="50">
        <v>40</v>
      </c>
      <c r="G288" s="50">
        <f>+D288*F288/100</f>
        <v>0.128</v>
      </c>
      <c r="H288" s="50">
        <f>+G288*J288</f>
        <v>0.128</v>
      </c>
      <c r="I288" s="50">
        <f t="shared" si="44"/>
        <v>0.4</v>
      </c>
      <c r="J288" s="50">
        <v>1</v>
      </c>
      <c r="K288" s="93"/>
    </row>
    <row r="289" spans="1:11" ht="15.75" x14ac:dyDescent="0.25">
      <c r="A289" s="92"/>
      <c r="B289" s="55"/>
      <c r="C289" s="92" t="s">
        <v>334</v>
      </c>
      <c r="D289" s="50">
        <v>0.24</v>
      </c>
      <c r="E289" s="134">
        <f t="shared" si="52"/>
        <v>3.3182340090379979E-2</v>
      </c>
      <c r="F289" s="50">
        <v>40</v>
      </c>
      <c r="G289" s="50">
        <f t="shared" ref="G289" si="55">+D289*F289/100</f>
        <v>9.6000000000000002E-2</v>
      </c>
      <c r="H289" s="50">
        <f t="shared" ref="H289" si="56">+G289*J289</f>
        <v>9.6000000000000002E-2</v>
      </c>
      <c r="I289" s="50">
        <f t="shared" si="44"/>
        <v>0.4</v>
      </c>
      <c r="J289" s="50">
        <v>1</v>
      </c>
      <c r="K289" s="93"/>
    </row>
    <row r="290" spans="1:11" ht="15.75" x14ac:dyDescent="0.25">
      <c r="A290" s="92"/>
      <c r="B290" s="55"/>
      <c r="C290" s="92" t="s">
        <v>836</v>
      </c>
      <c r="D290" s="50">
        <v>0.11</v>
      </c>
      <c r="E290" s="134">
        <f t="shared" si="52"/>
        <v>1.5208572541424161E-2</v>
      </c>
      <c r="F290" s="50">
        <v>40</v>
      </c>
      <c r="G290" s="50">
        <f>+D290*F290/100</f>
        <v>4.4000000000000004E-2</v>
      </c>
      <c r="H290" s="50">
        <f>+G290*J290</f>
        <v>4.4000000000000004E-2</v>
      </c>
      <c r="I290" s="50">
        <f t="shared" si="44"/>
        <v>0.4</v>
      </c>
      <c r="J290" s="50">
        <v>1</v>
      </c>
      <c r="K290" s="93"/>
    </row>
    <row r="291" spans="1:11" ht="15.75" x14ac:dyDescent="0.25">
      <c r="A291" s="237">
        <v>9</v>
      </c>
      <c r="B291" s="238" t="s">
        <v>837</v>
      </c>
      <c r="C291" s="237"/>
      <c r="D291" s="239">
        <f>+SUM(D292:D294)</f>
        <v>7.65</v>
      </c>
      <c r="E291" s="240">
        <f t="shared" si="52"/>
        <v>1.0576870903808619</v>
      </c>
      <c r="F291" s="239"/>
      <c r="G291" s="239"/>
      <c r="H291" s="239"/>
      <c r="I291" s="239"/>
      <c r="J291" s="239"/>
      <c r="K291" s="241"/>
    </row>
    <row r="292" spans="1:11" ht="15.75" x14ac:dyDescent="0.25">
      <c r="A292" s="92"/>
      <c r="B292" s="55"/>
      <c r="C292" s="92" t="s">
        <v>845</v>
      </c>
      <c r="D292" s="50">
        <v>2.52</v>
      </c>
      <c r="E292" s="134">
        <f t="shared" si="52"/>
        <v>0.34841457094898987</v>
      </c>
      <c r="F292" s="50"/>
      <c r="G292" s="50"/>
      <c r="H292" s="50"/>
      <c r="I292" s="50"/>
      <c r="J292" s="50"/>
      <c r="K292" s="93"/>
    </row>
    <row r="293" spans="1:11" ht="15.75" x14ac:dyDescent="0.25">
      <c r="A293" s="92"/>
      <c r="B293" s="55"/>
      <c r="C293" s="92" t="s">
        <v>846</v>
      </c>
      <c r="D293" s="50">
        <v>3.19</v>
      </c>
      <c r="E293" s="134">
        <f t="shared" si="52"/>
        <v>0.44104860370130061</v>
      </c>
      <c r="F293" s="50"/>
      <c r="G293" s="50"/>
      <c r="H293" s="50"/>
      <c r="I293" s="50"/>
      <c r="J293" s="50"/>
      <c r="K293" s="93"/>
    </row>
    <row r="294" spans="1:11" ht="15.75" x14ac:dyDescent="0.25">
      <c r="A294" s="92"/>
      <c r="B294" s="55"/>
      <c r="C294" s="92" t="s">
        <v>847</v>
      </c>
      <c r="D294" s="50">
        <v>1.94</v>
      </c>
      <c r="E294" s="134">
        <f t="shared" si="52"/>
        <v>0.26822391573057153</v>
      </c>
      <c r="F294" s="50"/>
      <c r="G294" s="50"/>
      <c r="H294" s="50"/>
      <c r="I294" s="50"/>
      <c r="J294" s="50"/>
      <c r="K294" s="93"/>
    </row>
    <row r="295" spans="1:11" ht="15.75" x14ac:dyDescent="0.25">
      <c r="A295" s="237">
        <v>10</v>
      </c>
      <c r="B295" s="238" t="s">
        <v>105</v>
      </c>
      <c r="C295" s="237"/>
      <c r="D295" s="239">
        <f>+SUM(D296:D300)</f>
        <v>2.34</v>
      </c>
      <c r="E295" s="240">
        <f t="shared" si="52"/>
        <v>0.32352781588120483</v>
      </c>
      <c r="F295" s="239">
        <f>+F296</f>
        <v>40</v>
      </c>
      <c r="G295" s="239">
        <f>+D295*F295/100</f>
        <v>0.93599999999999994</v>
      </c>
      <c r="H295" s="239">
        <f>+G295*J295</f>
        <v>0.93599999999999994</v>
      </c>
      <c r="I295" s="239">
        <f t="shared" si="44"/>
        <v>0.4</v>
      </c>
      <c r="J295" s="239">
        <f>+J296</f>
        <v>1</v>
      </c>
      <c r="K295" s="241"/>
    </row>
    <row r="296" spans="1:11" ht="15.75" x14ac:dyDescent="0.25">
      <c r="A296" s="92"/>
      <c r="B296" s="55"/>
      <c r="C296" s="92" t="s">
        <v>344</v>
      </c>
      <c r="D296" s="50">
        <v>0.24</v>
      </c>
      <c r="E296" s="134">
        <f t="shared" si="52"/>
        <v>3.3182340090379979E-2</v>
      </c>
      <c r="F296" s="50">
        <v>40</v>
      </c>
      <c r="G296" s="50">
        <f>+D296*F296/100</f>
        <v>9.6000000000000002E-2</v>
      </c>
      <c r="H296" s="50">
        <f>+G296*J296</f>
        <v>9.6000000000000002E-2</v>
      </c>
      <c r="I296" s="50">
        <f t="shared" si="44"/>
        <v>0.4</v>
      </c>
      <c r="J296" s="50">
        <v>1</v>
      </c>
      <c r="K296" s="93"/>
    </row>
    <row r="297" spans="1:11" ht="15.75" x14ac:dyDescent="0.25">
      <c r="A297" s="92"/>
      <c r="B297" s="55"/>
      <c r="C297" s="92" t="s">
        <v>139</v>
      </c>
      <c r="D297" s="50">
        <v>0.09</v>
      </c>
      <c r="E297" s="134">
        <f t="shared" si="52"/>
        <v>1.2443377533892495E-2</v>
      </c>
      <c r="F297" s="50">
        <v>40</v>
      </c>
      <c r="G297" s="50">
        <f t="shared" ref="G297:G300" si="57">+D297*F297/100</f>
        <v>3.5999999999999997E-2</v>
      </c>
      <c r="H297" s="50">
        <f t="shared" ref="H297:H300" si="58">+G297*J297</f>
        <v>3.5999999999999997E-2</v>
      </c>
      <c r="I297" s="50">
        <f t="shared" si="44"/>
        <v>0.39999999999999997</v>
      </c>
      <c r="J297" s="50">
        <v>1</v>
      </c>
      <c r="K297" s="93"/>
    </row>
    <row r="298" spans="1:11" ht="15.75" x14ac:dyDescent="0.25">
      <c r="A298" s="92"/>
      <c r="B298" s="55"/>
      <c r="C298" s="92" t="s">
        <v>137</v>
      </c>
      <c r="D298" s="50">
        <v>0.06</v>
      </c>
      <c r="E298" s="134">
        <f t="shared" si="52"/>
        <v>8.2955850225949947E-3</v>
      </c>
      <c r="F298" s="50">
        <v>40</v>
      </c>
      <c r="G298" s="50">
        <f t="shared" si="57"/>
        <v>2.4E-2</v>
      </c>
      <c r="H298" s="50">
        <f t="shared" si="58"/>
        <v>2.4E-2</v>
      </c>
      <c r="I298" s="50">
        <f t="shared" si="44"/>
        <v>0.4</v>
      </c>
      <c r="J298" s="50">
        <v>1</v>
      </c>
      <c r="K298" s="93"/>
    </row>
    <row r="299" spans="1:11" ht="15.75" x14ac:dyDescent="0.25">
      <c r="A299" s="92"/>
      <c r="B299" s="55"/>
      <c r="C299" s="92" t="s">
        <v>342</v>
      </c>
      <c r="D299" s="50">
        <v>0.2</v>
      </c>
      <c r="E299" s="134">
        <f t="shared" si="52"/>
        <v>2.7651950075316654E-2</v>
      </c>
      <c r="F299" s="50">
        <v>40</v>
      </c>
      <c r="G299" s="50">
        <f t="shared" si="57"/>
        <v>0.08</v>
      </c>
      <c r="H299" s="50">
        <f t="shared" si="58"/>
        <v>0.08</v>
      </c>
      <c r="I299" s="50">
        <f t="shared" si="44"/>
        <v>0.39999999999999997</v>
      </c>
      <c r="J299" s="50">
        <v>1</v>
      </c>
      <c r="K299" s="93"/>
    </row>
    <row r="300" spans="1:11" ht="15.75" x14ac:dyDescent="0.25">
      <c r="A300" s="92"/>
      <c r="B300" s="55"/>
      <c r="C300" s="92" t="s">
        <v>340</v>
      </c>
      <c r="D300" s="50">
        <v>1.75</v>
      </c>
      <c r="E300" s="134">
        <f t="shared" si="52"/>
        <v>0.24195456315902072</v>
      </c>
      <c r="F300" s="50">
        <v>40</v>
      </c>
      <c r="G300" s="50">
        <f t="shared" si="57"/>
        <v>0.7</v>
      </c>
      <c r="H300" s="50">
        <f t="shared" si="58"/>
        <v>0.7</v>
      </c>
      <c r="I300" s="50">
        <f t="shared" si="44"/>
        <v>0.39999999999999997</v>
      </c>
      <c r="J300" s="50">
        <v>1</v>
      </c>
      <c r="K300" s="93"/>
    </row>
    <row r="301" spans="1:11" ht="15.75" x14ac:dyDescent="0.25">
      <c r="A301" s="237">
        <v>11</v>
      </c>
      <c r="B301" s="238" t="s">
        <v>709</v>
      </c>
      <c r="C301" s="237"/>
      <c r="D301" s="239">
        <f>+D302+D305+D311</f>
        <v>47.266300000000001</v>
      </c>
      <c r="E301" s="240">
        <f t="shared" si="52"/>
        <v>6.5350268392246971</v>
      </c>
      <c r="F301" s="239"/>
      <c r="G301" s="239">
        <f>+G302</f>
        <v>5.48</v>
      </c>
      <c r="H301" s="239"/>
      <c r="I301" s="239"/>
      <c r="J301" s="239"/>
      <c r="K301" s="241"/>
    </row>
    <row r="302" spans="1:11" ht="15.75" x14ac:dyDescent="0.25">
      <c r="A302" s="52">
        <v>11.1</v>
      </c>
      <c r="B302" s="51" t="s">
        <v>94</v>
      </c>
      <c r="C302" s="52"/>
      <c r="D302" s="53">
        <f>+SUM(D303:D304)</f>
        <v>21.92</v>
      </c>
      <c r="E302" s="135">
        <f t="shared" si="52"/>
        <v>3.0306537282547055</v>
      </c>
      <c r="F302" s="53"/>
      <c r="G302" s="53">
        <f>+G303+G304</f>
        <v>5.48</v>
      </c>
      <c r="H302" s="53"/>
      <c r="I302" s="53"/>
      <c r="J302" s="53"/>
      <c r="K302" s="65"/>
    </row>
    <row r="303" spans="1:11" ht="15.75" x14ac:dyDescent="0.25">
      <c r="A303" s="92"/>
      <c r="B303" s="55"/>
      <c r="C303" s="92" t="s">
        <v>204</v>
      </c>
      <c r="D303" s="50">
        <v>8.1300000000000008</v>
      </c>
      <c r="E303" s="134">
        <f t="shared" si="52"/>
        <v>1.124051770561622</v>
      </c>
      <c r="F303" s="50">
        <v>25</v>
      </c>
      <c r="G303" s="50">
        <f t="shared" ref="G303:G304" si="59">+D303*F303/100</f>
        <v>2.0325000000000002</v>
      </c>
      <c r="H303" s="50">
        <f t="shared" ref="H303:H304" si="60">+G303*J303</f>
        <v>10.162500000000001</v>
      </c>
      <c r="I303" s="50">
        <f>+H303/D303</f>
        <v>1.25</v>
      </c>
      <c r="J303" s="50">
        <v>5</v>
      </c>
      <c r="K303" s="93"/>
    </row>
    <row r="304" spans="1:11" ht="15.75" x14ac:dyDescent="0.25">
      <c r="A304" s="92"/>
      <c r="B304" s="55"/>
      <c r="C304" s="92" t="s">
        <v>202</v>
      </c>
      <c r="D304" s="50">
        <v>13.79</v>
      </c>
      <c r="E304" s="134">
        <f t="shared" si="52"/>
        <v>1.906601957693083</v>
      </c>
      <c r="F304" s="50">
        <v>25</v>
      </c>
      <c r="G304" s="50">
        <f t="shared" si="59"/>
        <v>3.4474999999999998</v>
      </c>
      <c r="H304" s="50">
        <f t="shared" si="60"/>
        <v>17.237499999999997</v>
      </c>
      <c r="I304" s="50">
        <f>+H304/D304</f>
        <v>1.2499999999999998</v>
      </c>
      <c r="J304" s="50">
        <v>5</v>
      </c>
      <c r="K304" s="93"/>
    </row>
    <row r="305" spans="1:11" ht="15.75" x14ac:dyDescent="0.25">
      <c r="A305" s="52">
        <v>11.2</v>
      </c>
      <c r="B305" s="51" t="s">
        <v>95</v>
      </c>
      <c r="C305" s="52"/>
      <c r="D305" s="53">
        <f>+SUM(D306:D310)</f>
        <v>6.6762999999999995</v>
      </c>
      <c r="E305" s="135">
        <f t="shared" si="52"/>
        <v>0.92306357143918283</v>
      </c>
      <c r="F305" s="53"/>
      <c r="G305" s="53"/>
      <c r="H305" s="53"/>
      <c r="I305" s="53"/>
      <c r="J305" s="53"/>
      <c r="K305" s="65"/>
    </row>
    <row r="306" spans="1:11" ht="15.75" x14ac:dyDescent="0.25">
      <c r="A306" s="92"/>
      <c r="B306" s="55"/>
      <c r="C306" s="92" t="s">
        <v>208</v>
      </c>
      <c r="D306" s="50">
        <v>3.3212000000000002</v>
      </c>
      <c r="E306" s="134">
        <f t="shared" si="52"/>
        <v>0.4591882829507084</v>
      </c>
      <c r="F306" s="50"/>
      <c r="G306" s="50"/>
      <c r="H306" s="50"/>
      <c r="I306" s="50"/>
      <c r="J306" s="50"/>
      <c r="K306" s="93"/>
    </row>
    <row r="307" spans="1:11" ht="15.75" x14ac:dyDescent="0.25">
      <c r="A307" s="92"/>
      <c r="B307" s="55"/>
      <c r="C307" s="92" t="s">
        <v>206</v>
      </c>
      <c r="D307" s="50">
        <v>0.47510000000000002</v>
      </c>
      <c r="E307" s="134">
        <f t="shared" si="52"/>
        <v>6.5687207403914719E-2</v>
      </c>
      <c r="F307" s="50"/>
      <c r="G307" s="50"/>
      <c r="H307" s="50"/>
      <c r="I307" s="50"/>
      <c r="J307" s="50"/>
      <c r="K307" s="93"/>
    </row>
    <row r="308" spans="1:11" ht="15.75" x14ac:dyDescent="0.25">
      <c r="A308" s="92"/>
      <c r="B308" s="55"/>
      <c r="C308" s="92" t="s">
        <v>838</v>
      </c>
      <c r="D308" s="50">
        <v>0.91</v>
      </c>
      <c r="E308" s="134">
        <f t="shared" si="52"/>
        <v>0.12581637284269079</v>
      </c>
      <c r="F308" s="50"/>
      <c r="G308" s="50"/>
      <c r="H308" s="50"/>
      <c r="I308" s="50"/>
      <c r="J308" s="50"/>
      <c r="K308" s="93"/>
    </row>
    <row r="309" spans="1:11" ht="15.75" x14ac:dyDescent="0.25">
      <c r="A309" s="92"/>
      <c r="B309" s="55"/>
      <c r="C309" s="92" t="s">
        <v>839</v>
      </c>
      <c r="D309" s="50">
        <v>1.17</v>
      </c>
      <c r="E309" s="134">
        <f t="shared" si="52"/>
        <v>0.16176390794060241</v>
      </c>
      <c r="F309" s="50"/>
      <c r="G309" s="50"/>
      <c r="H309" s="50"/>
      <c r="I309" s="50"/>
      <c r="J309" s="50"/>
      <c r="K309" s="93"/>
    </row>
    <row r="310" spans="1:11" ht="15.75" x14ac:dyDescent="0.25">
      <c r="A310" s="92"/>
      <c r="B310" s="55"/>
      <c r="C310" s="92" t="s">
        <v>840</v>
      </c>
      <c r="D310" s="50">
        <v>0.8</v>
      </c>
      <c r="E310" s="134">
        <f t="shared" si="52"/>
        <v>0.11060780030126661</v>
      </c>
      <c r="F310" s="50"/>
      <c r="G310" s="50"/>
      <c r="H310" s="50"/>
      <c r="I310" s="50"/>
      <c r="J310" s="50"/>
      <c r="K310" s="93"/>
    </row>
    <row r="311" spans="1:11" ht="15.75" x14ac:dyDescent="0.25">
      <c r="A311" s="52">
        <v>11.3</v>
      </c>
      <c r="B311" s="51" t="s">
        <v>53</v>
      </c>
      <c r="C311" s="52"/>
      <c r="D311" s="53">
        <f>+SUM(D312:D321)</f>
        <v>18.670000000000002</v>
      </c>
      <c r="E311" s="135">
        <f t="shared" si="52"/>
        <v>2.5813095395308094</v>
      </c>
      <c r="F311" s="53"/>
      <c r="G311" s="53"/>
      <c r="H311" s="53"/>
      <c r="I311" s="53"/>
      <c r="J311" s="53"/>
      <c r="K311" s="65"/>
    </row>
    <row r="312" spans="1:11" ht="15.75" x14ac:dyDescent="0.25">
      <c r="A312" s="92"/>
      <c r="B312" s="55"/>
      <c r="C312" s="92" t="s">
        <v>242</v>
      </c>
      <c r="D312" s="50">
        <v>0.76</v>
      </c>
      <c r="E312" s="134">
        <f t="shared" si="52"/>
        <v>0.10507741028620329</v>
      </c>
      <c r="F312" s="50"/>
      <c r="G312" s="50"/>
      <c r="H312" s="50"/>
      <c r="I312" s="50"/>
      <c r="J312" s="50"/>
      <c r="K312" s="93"/>
    </row>
    <row r="313" spans="1:11" ht="15.75" x14ac:dyDescent="0.25">
      <c r="A313" s="92"/>
      <c r="B313" s="55"/>
      <c r="C313" s="92" t="s">
        <v>150</v>
      </c>
      <c r="D313" s="50">
        <v>0.81</v>
      </c>
      <c r="E313" s="134">
        <f t="shared" si="52"/>
        <v>0.11199039780503245</v>
      </c>
      <c r="F313" s="50"/>
      <c r="G313" s="50"/>
      <c r="H313" s="50"/>
      <c r="I313" s="50"/>
      <c r="J313" s="50"/>
      <c r="K313" s="93"/>
    </row>
    <row r="314" spans="1:11" ht="15.75" x14ac:dyDescent="0.25">
      <c r="A314" s="92"/>
      <c r="B314" s="55"/>
      <c r="C314" s="92" t="s">
        <v>238</v>
      </c>
      <c r="D314" s="50">
        <v>2.63</v>
      </c>
      <c r="E314" s="134">
        <f t="shared" si="52"/>
        <v>0.36362314349041397</v>
      </c>
      <c r="F314" s="50"/>
      <c r="G314" s="50"/>
      <c r="H314" s="50"/>
      <c r="I314" s="50"/>
      <c r="J314" s="50"/>
      <c r="K314" s="93"/>
    </row>
    <row r="315" spans="1:11" ht="15.75" x14ac:dyDescent="0.25">
      <c r="A315" s="92"/>
      <c r="B315" s="55"/>
      <c r="C315" s="92" t="s">
        <v>240</v>
      </c>
      <c r="D315" s="50">
        <v>2.42</v>
      </c>
      <c r="E315" s="134">
        <f t="shared" si="52"/>
        <v>0.3345885959113315</v>
      </c>
      <c r="F315" s="50"/>
      <c r="G315" s="50"/>
      <c r="H315" s="50"/>
      <c r="I315" s="50"/>
      <c r="J315" s="50"/>
      <c r="K315" s="93"/>
    </row>
    <row r="316" spans="1:11" ht="15.75" x14ac:dyDescent="0.25">
      <c r="A316" s="92"/>
      <c r="B316" s="55"/>
      <c r="C316" s="92" t="s">
        <v>236</v>
      </c>
      <c r="D316" s="50">
        <v>1.82</v>
      </c>
      <c r="E316" s="134">
        <f t="shared" si="52"/>
        <v>0.25163274568538158</v>
      </c>
      <c r="F316" s="50"/>
      <c r="G316" s="50"/>
      <c r="H316" s="50"/>
      <c r="I316" s="50"/>
      <c r="J316" s="50"/>
      <c r="K316" s="93"/>
    </row>
    <row r="317" spans="1:11" ht="15.75" x14ac:dyDescent="0.25">
      <c r="A317" s="92"/>
      <c r="B317" s="55"/>
      <c r="C317" s="92" t="s">
        <v>234</v>
      </c>
      <c r="D317" s="50">
        <v>2.31</v>
      </c>
      <c r="E317" s="134">
        <f t="shared" si="52"/>
        <v>0.31938002336990734</v>
      </c>
      <c r="F317" s="50"/>
      <c r="G317" s="50"/>
      <c r="H317" s="50"/>
      <c r="I317" s="50"/>
      <c r="J317" s="50"/>
      <c r="K317" s="93"/>
    </row>
    <row r="318" spans="1:11" ht="15.75" x14ac:dyDescent="0.25">
      <c r="A318" s="92"/>
      <c r="B318" s="55"/>
      <c r="C318" s="92" t="s">
        <v>148</v>
      </c>
      <c r="D318" s="50">
        <v>1.1499999999999999</v>
      </c>
      <c r="E318" s="134">
        <f t="shared" si="52"/>
        <v>0.15899871293307075</v>
      </c>
      <c r="F318" s="50"/>
      <c r="G318" s="50"/>
      <c r="H318" s="50"/>
      <c r="I318" s="50"/>
      <c r="J318" s="50"/>
      <c r="K318" s="93"/>
    </row>
    <row r="319" spans="1:11" ht="15.75" x14ac:dyDescent="0.25">
      <c r="A319" s="92"/>
      <c r="B319" s="55"/>
      <c r="C319" s="92" t="s">
        <v>146</v>
      </c>
      <c r="D319" s="50">
        <v>0.46</v>
      </c>
      <c r="E319" s="134">
        <f t="shared" si="52"/>
        <v>6.3599485173228304E-2</v>
      </c>
      <c r="F319" s="50"/>
      <c r="G319" s="50"/>
      <c r="H319" s="50"/>
      <c r="I319" s="50"/>
      <c r="J319" s="50"/>
      <c r="K319" s="93"/>
    </row>
    <row r="320" spans="1:11" ht="15.75" x14ac:dyDescent="0.25">
      <c r="A320" s="92"/>
      <c r="B320" s="55"/>
      <c r="C320" s="92" t="s">
        <v>232</v>
      </c>
      <c r="D320" s="50">
        <v>3.16</v>
      </c>
      <c r="E320" s="134">
        <f t="shared" si="52"/>
        <v>0.43690081119000312</v>
      </c>
      <c r="F320" s="50"/>
      <c r="G320" s="50"/>
      <c r="H320" s="50"/>
      <c r="I320" s="50"/>
      <c r="J320" s="50"/>
      <c r="K320" s="93"/>
    </row>
    <row r="321" spans="1:11" ht="15.75" x14ac:dyDescent="0.25">
      <c r="A321" s="92"/>
      <c r="B321" s="55"/>
      <c r="C321" s="92" t="s">
        <v>230</v>
      </c>
      <c r="D321" s="50">
        <v>3.15</v>
      </c>
      <c r="E321" s="134">
        <f t="shared" si="52"/>
        <v>0.43551821368623728</v>
      </c>
      <c r="F321" s="50"/>
      <c r="G321" s="50"/>
      <c r="H321" s="50"/>
      <c r="I321" s="50"/>
      <c r="J321" s="50"/>
      <c r="K321" s="93"/>
    </row>
    <row r="322" spans="1:11" ht="15.75" x14ac:dyDescent="0.25">
      <c r="A322" s="233" t="s">
        <v>608</v>
      </c>
      <c r="B322" s="234" t="s">
        <v>624</v>
      </c>
      <c r="C322" s="233"/>
      <c r="D322" s="235">
        <f>+D323</f>
        <v>2.79</v>
      </c>
      <c r="E322" s="235">
        <f t="shared" si="52"/>
        <v>0.38574470355066731</v>
      </c>
      <c r="F322" s="235"/>
      <c r="G322" s="235"/>
      <c r="H322" s="235"/>
      <c r="I322" s="235"/>
      <c r="J322" s="235"/>
      <c r="K322" s="236"/>
    </row>
    <row r="323" spans="1:11" ht="15.75" x14ac:dyDescent="0.25">
      <c r="A323" s="237">
        <v>1</v>
      </c>
      <c r="B323" s="238" t="s">
        <v>120</v>
      </c>
      <c r="C323" s="237"/>
      <c r="D323" s="239">
        <f>+SUM(D324:D328)</f>
        <v>2.79</v>
      </c>
      <c r="E323" s="240">
        <f t="shared" si="52"/>
        <v>0.38574470355066731</v>
      </c>
      <c r="F323" s="239"/>
      <c r="G323" s="239"/>
      <c r="H323" s="239"/>
      <c r="I323" s="239"/>
      <c r="J323" s="239"/>
      <c r="K323" s="241"/>
    </row>
    <row r="324" spans="1:11" ht="15.75" x14ac:dyDescent="0.25">
      <c r="A324" s="92"/>
      <c r="B324" s="55"/>
      <c r="C324" s="92" t="s">
        <v>186</v>
      </c>
      <c r="D324" s="50">
        <v>0.54</v>
      </c>
      <c r="E324" s="134">
        <f t="shared" si="52"/>
        <v>7.4660265203354975E-2</v>
      </c>
      <c r="F324" s="50"/>
      <c r="G324" s="50"/>
      <c r="H324" s="50"/>
      <c r="I324" s="50"/>
      <c r="J324" s="50"/>
      <c r="K324" s="93"/>
    </row>
    <row r="325" spans="1:11" ht="15.75" x14ac:dyDescent="0.25">
      <c r="A325" s="92"/>
      <c r="B325" s="55"/>
      <c r="C325" s="92" t="s">
        <v>184</v>
      </c>
      <c r="D325" s="50">
        <v>0.74</v>
      </c>
      <c r="E325" s="134">
        <f t="shared" si="52"/>
        <v>0.10231221527867163</v>
      </c>
      <c r="F325" s="50"/>
      <c r="G325" s="50"/>
      <c r="H325" s="50"/>
      <c r="I325" s="50"/>
      <c r="J325" s="50"/>
      <c r="K325" s="93"/>
    </row>
    <row r="326" spans="1:11" ht="15.75" x14ac:dyDescent="0.25">
      <c r="A326" s="92"/>
      <c r="B326" s="55"/>
      <c r="C326" s="92" t="s">
        <v>182</v>
      </c>
      <c r="D326" s="50">
        <v>0.73</v>
      </c>
      <c r="E326" s="134">
        <f t="shared" si="52"/>
        <v>0.10092961777490579</v>
      </c>
      <c r="F326" s="50"/>
      <c r="G326" s="50"/>
      <c r="H326" s="50"/>
      <c r="I326" s="50"/>
      <c r="J326" s="50"/>
      <c r="K326" s="93"/>
    </row>
    <row r="327" spans="1:11" ht="15.75" x14ac:dyDescent="0.25">
      <c r="A327" s="92"/>
      <c r="B327" s="55"/>
      <c r="C327" s="92" t="s">
        <v>180</v>
      </c>
      <c r="D327" s="50">
        <v>0.35</v>
      </c>
      <c r="E327" s="134">
        <f t="shared" si="52"/>
        <v>4.8390912631804138E-2</v>
      </c>
      <c r="F327" s="50"/>
      <c r="G327" s="50"/>
      <c r="H327" s="50"/>
      <c r="I327" s="50"/>
      <c r="J327" s="50"/>
      <c r="K327" s="93"/>
    </row>
    <row r="328" spans="1:11" ht="15.75" x14ac:dyDescent="0.25">
      <c r="A328" s="92"/>
      <c r="B328" s="55"/>
      <c r="C328" s="92" t="s">
        <v>178</v>
      </c>
      <c r="D328" s="50">
        <v>0.43</v>
      </c>
      <c r="E328" s="134">
        <f t="shared" si="52"/>
        <v>5.9451692661930802E-2</v>
      </c>
      <c r="F328" s="50"/>
      <c r="G328" s="50"/>
      <c r="H328" s="50"/>
      <c r="I328" s="50"/>
      <c r="J328" s="50"/>
      <c r="K328" s="93"/>
    </row>
    <row r="329" spans="1:11" ht="15.75" x14ac:dyDescent="0.25">
      <c r="A329" s="246" t="s">
        <v>623</v>
      </c>
      <c r="B329" s="248" t="s">
        <v>605</v>
      </c>
      <c r="C329" s="246"/>
      <c r="D329" s="249">
        <f>+D186-D187-D262-D322</f>
        <v>44.422813999999981</v>
      </c>
      <c r="E329" s="235">
        <f t="shared" si="52"/>
        <v>6.1418871746653858</v>
      </c>
      <c r="F329" s="249"/>
      <c r="G329" s="249"/>
      <c r="H329" s="249"/>
      <c r="I329" s="249"/>
      <c r="J329" s="249"/>
      <c r="K329" s="236"/>
    </row>
    <row r="330" spans="1:11" ht="15.75" x14ac:dyDescent="0.25">
      <c r="A330" s="227" t="s">
        <v>864</v>
      </c>
      <c r="B330" s="243" t="s">
        <v>755</v>
      </c>
      <c r="C330" s="227"/>
      <c r="D330" s="244">
        <v>110.14</v>
      </c>
      <c r="E330" s="232">
        <f t="shared" si="52"/>
        <v>15.227928906476881</v>
      </c>
      <c r="F330" s="244">
        <f>+G330*100/D330</f>
        <v>40.683003450154338</v>
      </c>
      <c r="G330" s="244">
        <f>+G331+G381</f>
        <v>44.80825999999999</v>
      </c>
      <c r="H330" s="244"/>
      <c r="I330" s="244"/>
      <c r="J330" s="244"/>
      <c r="K330" s="245">
        <f>+K332</f>
        <v>3081.0142745027379</v>
      </c>
    </row>
    <row r="331" spans="1:11" ht="15.75" x14ac:dyDescent="0.25">
      <c r="A331" s="246" t="s">
        <v>606</v>
      </c>
      <c r="B331" s="248" t="s">
        <v>594</v>
      </c>
      <c r="C331" s="246"/>
      <c r="D331" s="242">
        <f>+D332+D375+D378</f>
        <v>68.656400000000005</v>
      </c>
      <c r="E331" s="235">
        <f t="shared" si="52"/>
        <v>9.4924167257548522</v>
      </c>
      <c r="F331" s="242"/>
      <c r="G331" s="242">
        <f>+G332+G374+G378</f>
        <v>38.340339999999991</v>
      </c>
      <c r="H331" s="242"/>
      <c r="I331" s="242"/>
      <c r="J331" s="242"/>
      <c r="K331" s="247"/>
    </row>
    <row r="332" spans="1:11" ht="15.75" x14ac:dyDescent="0.25">
      <c r="A332" s="237">
        <v>1</v>
      </c>
      <c r="B332" s="238" t="s">
        <v>593</v>
      </c>
      <c r="C332" s="237"/>
      <c r="D332" s="239">
        <f>+D333+D350+D369+D372+D373</f>
        <v>63.056400000000004</v>
      </c>
      <c r="E332" s="240">
        <f t="shared" si="52"/>
        <v>8.7181621236459854</v>
      </c>
      <c r="F332" s="239"/>
      <c r="G332" s="239">
        <f>+G333+G350+G369+G372+G373</f>
        <v>37.553839999999994</v>
      </c>
      <c r="H332" s="239"/>
      <c r="I332" s="239"/>
      <c r="J332" s="239"/>
      <c r="K332" s="241">
        <f>+K333+K350</f>
        <v>3081.0142745027379</v>
      </c>
    </row>
    <row r="333" spans="1:11" ht="15.75" x14ac:dyDescent="0.25">
      <c r="A333" s="52" t="s">
        <v>31</v>
      </c>
      <c r="B333" s="51" t="s">
        <v>89</v>
      </c>
      <c r="C333" s="52"/>
      <c r="D333" s="53">
        <f>+D334+D348</f>
        <v>20.9</v>
      </c>
      <c r="E333" s="135">
        <f t="shared" si="52"/>
        <v>2.8896287828705902</v>
      </c>
      <c r="F333" s="53">
        <v>60</v>
      </c>
      <c r="G333" s="53">
        <f>+D333*F333/100</f>
        <v>12.54</v>
      </c>
      <c r="H333" s="53"/>
      <c r="I333" s="53"/>
      <c r="J333" s="53" t="s">
        <v>813</v>
      </c>
      <c r="K333" s="65">
        <f>+N333</f>
        <v>0</v>
      </c>
    </row>
    <row r="334" spans="1:11" ht="15.75" x14ac:dyDescent="0.25">
      <c r="A334" s="151" t="s">
        <v>707</v>
      </c>
      <c r="B334" s="212" t="s">
        <v>36</v>
      </c>
      <c r="C334" s="151"/>
      <c r="D334" s="214">
        <f>+SUM(D335:D347)</f>
        <v>20.25</v>
      </c>
      <c r="E334" s="213">
        <f t="shared" si="52"/>
        <v>2.7997599451258113</v>
      </c>
      <c r="F334" s="214">
        <v>60</v>
      </c>
      <c r="G334" s="214">
        <f t="shared" ref="G334:G335" si="61">+D334*F334/100</f>
        <v>12.15</v>
      </c>
      <c r="H334" s="214">
        <f>+G334*J334</f>
        <v>85.05</v>
      </c>
      <c r="I334" s="214">
        <f t="shared" ref="I334:I335" si="62">+H334/D334</f>
        <v>4.2</v>
      </c>
      <c r="J334" s="214">
        <v>7</v>
      </c>
      <c r="K334" s="215"/>
    </row>
    <row r="335" spans="1:11" ht="15.75" x14ac:dyDescent="0.25">
      <c r="A335" s="92"/>
      <c r="B335" s="55"/>
      <c r="C335" s="92" t="s">
        <v>757</v>
      </c>
      <c r="D335" s="50">
        <v>0.82</v>
      </c>
      <c r="E335" s="134">
        <f t="shared" si="52"/>
        <v>0.11337299530879827</v>
      </c>
      <c r="F335" s="50">
        <v>60</v>
      </c>
      <c r="G335" s="50">
        <f t="shared" si="61"/>
        <v>0.49199999999999994</v>
      </c>
      <c r="H335" s="50">
        <f t="shared" ref="H335" si="63">+G335*J335</f>
        <v>3.4439999999999995</v>
      </c>
      <c r="I335" s="50">
        <f t="shared" si="62"/>
        <v>4.1999999999999993</v>
      </c>
      <c r="J335" s="50">
        <v>7</v>
      </c>
      <c r="K335" s="93"/>
    </row>
    <row r="336" spans="1:11" ht="15.75" x14ac:dyDescent="0.25">
      <c r="A336" s="92"/>
      <c r="B336" s="55"/>
      <c r="C336" s="92" t="s">
        <v>758</v>
      </c>
      <c r="D336" s="50">
        <v>0.88</v>
      </c>
      <c r="E336" s="134">
        <f t="shared" si="52"/>
        <v>0.12166858033139329</v>
      </c>
      <c r="F336" s="50">
        <v>60</v>
      </c>
      <c r="G336" s="50">
        <f>+D336*F336/100</f>
        <v>0.52800000000000002</v>
      </c>
      <c r="H336" s="50">
        <f>+G336*J336</f>
        <v>3.6960000000000002</v>
      </c>
      <c r="I336" s="50">
        <f>+H336/D336</f>
        <v>4.2</v>
      </c>
      <c r="J336" s="50">
        <v>7</v>
      </c>
      <c r="K336" s="93"/>
    </row>
    <row r="337" spans="1:11" ht="15.75" x14ac:dyDescent="0.25">
      <c r="A337" s="92"/>
      <c r="B337" s="55"/>
      <c r="C337" s="92" t="s">
        <v>759</v>
      </c>
      <c r="D337" s="50">
        <v>0.84</v>
      </c>
      <c r="E337" s="134">
        <f t="shared" si="52"/>
        <v>0.11613819031632994</v>
      </c>
      <c r="F337" s="50">
        <v>60</v>
      </c>
      <c r="G337" s="50">
        <f t="shared" ref="G337:G374" si="64">+D337*F337/100</f>
        <v>0.504</v>
      </c>
      <c r="H337" s="50">
        <f t="shared" ref="H337:H374" si="65">+G337*J337</f>
        <v>3.528</v>
      </c>
      <c r="I337" s="50">
        <f t="shared" ref="I337:I374" si="66">+H337/D337</f>
        <v>4.2</v>
      </c>
      <c r="J337" s="50">
        <v>7</v>
      </c>
      <c r="K337" s="93"/>
    </row>
    <row r="338" spans="1:11" ht="15.75" x14ac:dyDescent="0.25">
      <c r="A338" s="92"/>
      <c r="B338" s="55"/>
      <c r="C338" s="92" t="s">
        <v>760</v>
      </c>
      <c r="D338" s="50">
        <v>1.1499999999999999</v>
      </c>
      <c r="E338" s="134">
        <f t="shared" si="52"/>
        <v>0.15899871293307075</v>
      </c>
      <c r="F338" s="50">
        <v>60</v>
      </c>
      <c r="G338" s="50">
        <f t="shared" si="64"/>
        <v>0.69</v>
      </c>
      <c r="H338" s="50">
        <f t="shared" si="65"/>
        <v>4.83</v>
      </c>
      <c r="I338" s="50">
        <f t="shared" si="66"/>
        <v>4.2</v>
      </c>
      <c r="J338" s="50">
        <v>7</v>
      </c>
      <c r="K338" s="93"/>
    </row>
    <row r="339" spans="1:11" ht="15.75" x14ac:dyDescent="0.25">
      <c r="A339" s="92"/>
      <c r="B339" s="55"/>
      <c r="C339" s="92" t="s">
        <v>761</v>
      </c>
      <c r="D339" s="50">
        <v>3</v>
      </c>
      <c r="E339" s="134">
        <f t="shared" si="52"/>
        <v>0.41477925112974984</v>
      </c>
      <c r="F339" s="50">
        <v>60</v>
      </c>
      <c r="G339" s="50">
        <f t="shared" si="64"/>
        <v>1.8</v>
      </c>
      <c r="H339" s="50">
        <f t="shared" si="65"/>
        <v>12.6</v>
      </c>
      <c r="I339" s="50">
        <f t="shared" si="66"/>
        <v>4.2</v>
      </c>
      <c r="J339" s="50">
        <v>7</v>
      </c>
      <c r="K339" s="93"/>
    </row>
    <row r="340" spans="1:11" ht="15.75" x14ac:dyDescent="0.25">
      <c r="A340" s="92"/>
      <c r="B340" s="55"/>
      <c r="C340" s="92" t="s">
        <v>762</v>
      </c>
      <c r="D340" s="50">
        <v>1.47</v>
      </c>
      <c r="E340" s="134">
        <f t="shared" si="52"/>
        <v>0.2032418330535774</v>
      </c>
      <c r="F340" s="50">
        <v>60</v>
      </c>
      <c r="G340" s="50">
        <f t="shared" si="64"/>
        <v>0.88200000000000001</v>
      </c>
      <c r="H340" s="50">
        <f t="shared" si="65"/>
        <v>6.1740000000000004</v>
      </c>
      <c r="I340" s="50">
        <f t="shared" si="66"/>
        <v>4.2</v>
      </c>
      <c r="J340" s="50">
        <v>7</v>
      </c>
      <c r="K340" s="93"/>
    </row>
    <row r="341" spans="1:11" ht="15.75" x14ac:dyDescent="0.25">
      <c r="A341" s="92"/>
      <c r="B341" s="55"/>
      <c r="C341" s="92" t="s">
        <v>763</v>
      </c>
      <c r="D341" s="50">
        <v>2.0299999999999998</v>
      </c>
      <c r="E341" s="134">
        <f t="shared" si="52"/>
        <v>0.28066729326446399</v>
      </c>
      <c r="F341" s="50">
        <v>60</v>
      </c>
      <c r="G341" s="50">
        <f t="shared" si="64"/>
        <v>1.2179999999999997</v>
      </c>
      <c r="H341" s="50">
        <f t="shared" si="65"/>
        <v>8.525999999999998</v>
      </c>
      <c r="I341" s="50">
        <f t="shared" si="66"/>
        <v>4.1999999999999993</v>
      </c>
      <c r="J341" s="50">
        <v>7</v>
      </c>
      <c r="K341" s="93"/>
    </row>
    <row r="342" spans="1:11" ht="15.75" x14ac:dyDescent="0.25">
      <c r="A342" s="92"/>
      <c r="B342" s="55"/>
      <c r="C342" s="92" t="s">
        <v>764</v>
      </c>
      <c r="D342" s="50">
        <v>1.51</v>
      </c>
      <c r="E342" s="134">
        <f t="shared" si="52"/>
        <v>0.20877222306864071</v>
      </c>
      <c r="F342" s="50">
        <v>60</v>
      </c>
      <c r="G342" s="50">
        <f t="shared" si="64"/>
        <v>0.90599999999999992</v>
      </c>
      <c r="H342" s="50">
        <f t="shared" si="65"/>
        <v>6.3419999999999996</v>
      </c>
      <c r="I342" s="50">
        <f t="shared" si="66"/>
        <v>4.2</v>
      </c>
      <c r="J342" s="50">
        <v>7</v>
      </c>
      <c r="K342" s="93"/>
    </row>
    <row r="343" spans="1:11" ht="15.75" x14ac:dyDescent="0.25">
      <c r="A343" s="92"/>
      <c r="B343" s="55"/>
      <c r="C343" s="92" t="s">
        <v>765</v>
      </c>
      <c r="D343" s="50">
        <v>0.91</v>
      </c>
      <c r="E343" s="134">
        <f t="shared" si="52"/>
        <v>0.12581637284269079</v>
      </c>
      <c r="F343" s="50">
        <v>60</v>
      </c>
      <c r="G343" s="50">
        <f t="shared" si="64"/>
        <v>0.54600000000000004</v>
      </c>
      <c r="H343" s="50">
        <f t="shared" si="65"/>
        <v>3.8220000000000001</v>
      </c>
      <c r="I343" s="50">
        <f t="shared" si="66"/>
        <v>4.2</v>
      </c>
      <c r="J343" s="50">
        <v>7</v>
      </c>
      <c r="K343" s="93"/>
    </row>
    <row r="344" spans="1:11" ht="15.75" x14ac:dyDescent="0.25">
      <c r="A344" s="92"/>
      <c r="B344" s="55"/>
      <c r="C344" s="92" t="s">
        <v>766</v>
      </c>
      <c r="D344" s="50">
        <v>1.1100000000000001</v>
      </c>
      <c r="E344" s="134">
        <f t="shared" si="52"/>
        <v>0.15346832291800744</v>
      </c>
      <c r="F344" s="50">
        <v>60</v>
      </c>
      <c r="G344" s="50">
        <f t="shared" si="64"/>
        <v>0.66600000000000004</v>
      </c>
      <c r="H344" s="50">
        <f t="shared" si="65"/>
        <v>4.6619999999999999</v>
      </c>
      <c r="I344" s="50">
        <f t="shared" si="66"/>
        <v>4.1999999999999993</v>
      </c>
      <c r="J344" s="50">
        <v>7</v>
      </c>
      <c r="K344" s="93"/>
    </row>
    <row r="345" spans="1:11" ht="15.75" x14ac:dyDescent="0.25">
      <c r="A345" s="92"/>
      <c r="B345" s="55"/>
      <c r="C345" s="92" t="s">
        <v>767</v>
      </c>
      <c r="D345" s="50">
        <v>2.35</v>
      </c>
      <c r="E345" s="134">
        <f t="shared" si="52"/>
        <v>0.32491041338497068</v>
      </c>
      <c r="F345" s="50">
        <v>60</v>
      </c>
      <c r="G345" s="50">
        <f t="shared" si="64"/>
        <v>1.41</v>
      </c>
      <c r="H345" s="50">
        <f t="shared" si="65"/>
        <v>9.8699999999999992</v>
      </c>
      <c r="I345" s="50">
        <f t="shared" si="66"/>
        <v>4.1999999999999993</v>
      </c>
      <c r="J345" s="50">
        <v>7</v>
      </c>
      <c r="K345" s="93"/>
    </row>
    <row r="346" spans="1:11" ht="15.75" x14ac:dyDescent="0.25">
      <c r="A346" s="92"/>
      <c r="B346" s="55"/>
      <c r="C346" s="92" t="s">
        <v>768</v>
      </c>
      <c r="D346" s="50">
        <v>0.75</v>
      </c>
      <c r="E346" s="134">
        <f t="shared" si="52"/>
        <v>0.10369481278243746</v>
      </c>
      <c r="F346" s="50">
        <v>60</v>
      </c>
      <c r="G346" s="50">
        <f t="shared" si="64"/>
        <v>0.45</v>
      </c>
      <c r="H346" s="50">
        <f t="shared" si="65"/>
        <v>3.15</v>
      </c>
      <c r="I346" s="50">
        <f t="shared" si="66"/>
        <v>4.2</v>
      </c>
      <c r="J346" s="50">
        <v>7</v>
      </c>
      <c r="K346" s="93"/>
    </row>
    <row r="347" spans="1:11" ht="15.75" x14ac:dyDescent="0.25">
      <c r="A347" s="92"/>
      <c r="B347" s="55"/>
      <c r="C347" s="92" t="s">
        <v>841</v>
      </c>
      <c r="D347" s="50">
        <v>3.43</v>
      </c>
      <c r="E347" s="134">
        <f t="shared" si="52"/>
        <v>0.47423094379168063</v>
      </c>
      <c r="F347" s="50">
        <v>60</v>
      </c>
      <c r="G347" s="50">
        <f t="shared" si="64"/>
        <v>2.0580000000000003</v>
      </c>
      <c r="H347" s="50">
        <f t="shared" si="65"/>
        <v>14.406000000000002</v>
      </c>
      <c r="I347" s="50">
        <f t="shared" si="66"/>
        <v>4.2</v>
      </c>
      <c r="J347" s="50">
        <v>7</v>
      </c>
      <c r="K347" s="93"/>
    </row>
    <row r="348" spans="1:11" ht="15.75" x14ac:dyDescent="0.25">
      <c r="A348" s="151" t="s">
        <v>708</v>
      </c>
      <c r="B348" s="212" t="s">
        <v>725</v>
      </c>
      <c r="C348" s="151"/>
      <c r="D348" s="214">
        <f>+D349</f>
        <v>0.65</v>
      </c>
      <c r="E348" s="213">
        <f t="shared" si="52"/>
        <v>8.986883774477912E-2</v>
      </c>
      <c r="F348" s="214">
        <v>60</v>
      </c>
      <c r="G348" s="214">
        <f t="shared" si="64"/>
        <v>0.39</v>
      </c>
      <c r="H348" s="214">
        <f t="shared" si="65"/>
        <v>2.73</v>
      </c>
      <c r="I348" s="214">
        <f t="shared" si="66"/>
        <v>4.2</v>
      </c>
      <c r="J348" s="214">
        <v>7</v>
      </c>
      <c r="K348" s="215"/>
    </row>
    <row r="349" spans="1:11" ht="15.75" x14ac:dyDescent="0.25">
      <c r="A349" s="92"/>
      <c r="B349" s="55"/>
      <c r="C349" s="92" t="s">
        <v>769</v>
      </c>
      <c r="D349" s="50">
        <v>0.65</v>
      </c>
      <c r="E349" s="134">
        <f t="shared" si="52"/>
        <v>8.986883774477912E-2</v>
      </c>
      <c r="F349" s="50">
        <v>60</v>
      </c>
      <c r="G349" s="50">
        <f t="shared" si="64"/>
        <v>0.39</v>
      </c>
      <c r="H349" s="50">
        <f t="shared" si="65"/>
        <v>2.73</v>
      </c>
      <c r="I349" s="50">
        <f t="shared" si="66"/>
        <v>4.2</v>
      </c>
      <c r="J349" s="50">
        <v>7</v>
      </c>
      <c r="K349" s="93"/>
    </row>
    <row r="350" spans="1:11" ht="15.75" x14ac:dyDescent="0.25">
      <c r="A350" s="52">
        <v>1.2</v>
      </c>
      <c r="B350" s="51" t="s">
        <v>90</v>
      </c>
      <c r="C350" s="52"/>
      <c r="D350" s="53">
        <f>+SUM(D351:D368)</f>
        <v>40.756399999999999</v>
      </c>
      <c r="E350" s="135">
        <f t="shared" si="52"/>
        <v>5.6349696902481785</v>
      </c>
      <c r="F350" s="53">
        <v>60</v>
      </c>
      <c r="G350" s="53">
        <f t="shared" si="64"/>
        <v>24.45384</v>
      </c>
      <c r="H350" s="53">
        <f t="shared" si="65"/>
        <v>171.17687999999998</v>
      </c>
      <c r="I350" s="53">
        <f t="shared" si="66"/>
        <v>4.1999999999999993</v>
      </c>
      <c r="J350" s="53">
        <v>7</v>
      </c>
      <c r="K350" s="65">
        <v>3081.0142745027379</v>
      </c>
    </row>
    <row r="351" spans="1:11" ht="15.75" x14ac:dyDescent="0.25">
      <c r="A351" s="52"/>
      <c r="B351" s="51"/>
      <c r="C351" s="92" t="s">
        <v>770</v>
      </c>
      <c r="D351" s="50">
        <v>3.5545</v>
      </c>
      <c r="E351" s="134">
        <f t="shared" si="52"/>
        <v>0.49144428271356522</v>
      </c>
      <c r="F351" s="50">
        <v>60</v>
      </c>
      <c r="G351" s="50">
        <f t="shared" si="64"/>
        <v>2.1327000000000003</v>
      </c>
      <c r="H351" s="50">
        <f t="shared" si="65"/>
        <v>14.928900000000002</v>
      </c>
      <c r="I351" s="50">
        <f t="shared" si="66"/>
        <v>4.2000000000000011</v>
      </c>
      <c r="J351" s="50">
        <v>7</v>
      </c>
      <c r="K351" s="65"/>
    </row>
    <row r="352" spans="1:11" ht="15.75" x14ac:dyDescent="0.25">
      <c r="A352" s="52"/>
      <c r="B352" s="51"/>
      <c r="C352" s="92" t="s">
        <v>771</v>
      </c>
      <c r="D352" s="50">
        <v>8.4436</v>
      </c>
      <c r="E352" s="134">
        <f t="shared" si="52"/>
        <v>1.1674100282797184</v>
      </c>
      <c r="F352" s="50">
        <v>60</v>
      </c>
      <c r="G352" s="50">
        <f t="shared" si="64"/>
        <v>5.06616</v>
      </c>
      <c r="H352" s="50">
        <f t="shared" si="65"/>
        <v>35.463120000000004</v>
      </c>
      <c r="I352" s="50">
        <f t="shared" si="66"/>
        <v>4.2</v>
      </c>
      <c r="J352" s="50">
        <v>7</v>
      </c>
      <c r="K352" s="65"/>
    </row>
    <row r="353" spans="1:11" ht="15.75" x14ac:dyDescent="0.25">
      <c r="A353" s="92"/>
      <c r="B353" s="55"/>
      <c r="C353" s="92" t="s">
        <v>772</v>
      </c>
      <c r="D353" s="50">
        <v>0.11650000000000001</v>
      </c>
      <c r="E353" s="134">
        <f t="shared" si="52"/>
        <v>1.6107260918871952E-2</v>
      </c>
      <c r="F353" s="50">
        <v>60</v>
      </c>
      <c r="G353" s="50">
        <f t="shared" si="64"/>
        <v>6.9900000000000004E-2</v>
      </c>
      <c r="H353" s="50">
        <f t="shared" si="65"/>
        <v>0.48930000000000001</v>
      </c>
      <c r="I353" s="50">
        <f t="shared" si="66"/>
        <v>4.2</v>
      </c>
      <c r="J353" s="50">
        <v>7</v>
      </c>
      <c r="K353" s="93"/>
    </row>
    <row r="354" spans="1:11" ht="15.75" x14ac:dyDescent="0.25">
      <c r="A354" s="92"/>
      <c r="B354" s="55"/>
      <c r="C354" s="92" t="s">
        <v>773</v>
      </c>
      <c r="D354" s="50">
        <v>0.23730000000000001</v>
      </c>
      <c r="E354" s="134">
        <f t="shared" ref="E354:E407" si="67">+D354/$D$3*100</f>
        <v>3.280903876436321E-2</v>
      </c>
      <c r="F354" s="50">
        <v>60</v>
      </c>
      <c r="G354" s="50">
        <f t="shared" si="64"/>
        <v>0.14238000000000001</v>
      </c>
      <c r="H354" s="50">
        <f t="shared" si="65"/>
        <v>0.9966600000000001</v>
      </c>
      <c r="I354" s="50">
        <f t="shared" si="66"/>
        <v>4.2</v>
      </c>
      <c r="J354" s="50">
        <v>7</v>
      </c>
      <c r="K354" s="93"/>
    </row>
    <row r="355" spans="1:11" ht="15.75" x14ac:dyDescent="0.25">
      <c r="A355" s="92"/>
      <c r="B355" s="55"/>
      <c r="C355" s="92" t="s">
        <v>774</v>
      </c>
      <c r="D355" s="50">
        <v>0.13220000000000001</v>
      </c>
      <c r="E355" s="134">
        <f t="shared" si="67"/>
        <v>1.8277938999784308E-2</v>
      </c>
      <c r="F355" s="50">
        <v>60</v>
      </c>
      <c r="G355" s="50">
        <f t="shared" si="64"/>
        <v>7.9320000000000002E-2</v>
      </c>
      <c r="H355" s="50">
        <f t="shared" si="65"/>
        <v>0.55523999999999996</v>
      </c>
      <c r="I355" s="50">
        <f t="shared" si="66"/>
        <v>4.1999999999999993</v>
      </c>
      <c r="J355" s="50">
        <v>7</v>
      </c>
      <c r="K355" s="93"/>
    </row>
    <row r="356" spans="1:11" ht="15.75" x14ac:dyDescent="0.25">
      <c r="A356" s="92"/>
      <c r="B356" s="55"/>
      <c r="C356" s="92" t="s">
        <v>775</v>
      </c>
      <c r="D356" s="50">
        <v>1.9359999999999999</v>
      </c>
      <c r="E356" s="134">
        <f t="shared" si="67"/>
        <v>0.2676708767290652</v>
      </c>
      <c r="F356" s="50">
        <v>60</v>
      </c>
      <c r="G356" s="50">
        <f t="shared" si="64"/>
        <v>1.1616</v>
      </c>
      <c r="H356" s="50">
        <f t="shared" si="65"/>
        <v>8.1311999999999998</v>
      </c>
      <c r="I356" s="50">
        <f t="shared" si="66"/>
        <v>4.2</v>
      </c>
      <c r="J356" s="50">
        <v>7</v>
      </c>
      <c r="K356" s="93"/>
    </row>
    <row r="357" spans="1:11" ht="15.75" x14ac:dyDescent="0.25">
      <c r="A357" s="92"/>
      <c r="B357" s="55"/>
      <c r="C357" s="92" t="s">
        <v>776</v>
      </c>
      <c r="D357" s="50">
        <v>0.3044</v>
      </c>
      <c r="E357" s="134">
        <f t="shared" si="67"/>
        <v>4.2086268014631945E-2</v>
      </c>
      <c r="F357" s="50">
        <v>60</v>
      </c>
      <c r="G357" s="50">
        <f t="shared" si="64"/>
        <v>0.18264</v>
      </c>
      <c r="H357" s="50">
        <f t="shared" si="65"/>
        <v>1.2784800000000001</v>
      </c>
      <c r="I357" s="50">
        <f t="shared" si="66"/>
        <v>4.2</v>
      </c>
      <c r="J357" s="50">
        <v>7</v>
      </c>
      <c r="K357" s="93"/>
    </row>
    <row r="358" spans="1:11" ht="15.75" x14ac:dyDescent="0.25">
      <c r="A358" s="92"/>
      <c r="B358" s="55"/>
      <c r="C358" s="92" t="s">
        <v>777</v>
      </c>
      <c r="D358" s="50">
        <v>2.0931000000000002</v>
      </c>
      <c r="E358" s="134">
        <f t="shared" si="67"/>
        <v>0.28939148351322647</v>
      </c>
      <c r="F358" s="50">
        <v>60</v>
      </c>
      <c r="G358" s="50">
        <f t="shared" si="64"/>
        <v>1.2558600000000002</v>
      </c>
      <c r="H358" s="50">
        <f t="shared" si="65"/>
        <v>8.7910200000000014</v>
      </c>
      <c r="I358" s="50">
        <f t="shared" si="66"/>
        <v>4.2</v>
      </c>
      <c r="J358" s="50">
        <v>7</v>
      </c>
      <c r="K358" s="93"/>
    </row>
    <row r="359" spans="1:11" ht="15.75" x14ac:dyDescent="0.25">
      <c r="A359" s="92"/>
      <c r="B359" s="55"/>
      <c r="C359" s="92" t="s">
        <v>778</v>
      </c>
      <c r="D359" s="50">
        <v>3.3822000000000001</v>
      </c>
      <c r="E359" s="134">
        <f t="shared" si="67"/>
        <v>0.46762212772367989</v>
      </c>
      <c r="F359" s="50">
        <v>60</v>
      </c>
      <c r="G359" s="50">
        <f t="shared" si="64"/>
        <v>2.0293200000000002</v>
      </c>
      <c r="H359" s="50">
        <f t="shared" si="65"/>
        <v>14.205240000000002</v>
      </c>
      <c r="I359" s="50">
        <f t="shared" si="66"/>
        <v>4.2</v>
      </c>
      <c r="J359" s="50">
        <v>7</v>
      </c>
      <c r="K359" s="93"/>
    </row>
    <row r="360" spans="1:11" ht="15.75" x14ac:dyDescent="0.25">
      <c r="A360" s="92"/>
      <c r="B360" s="55"/>
      <c r="C360" s="92" t="s">
        <v>779</v>
      </c>
      <c r="D360" s="50">
        <v>3.4643999999999999</v>
      </c>
      <c r="E360" s="134">
        <f t="shared" si="67"/>
        <v>0.47898707920463501</v>
      </c>
      <c r="F360" s="50">
        <v>60</v>
      </c>
      <c r="G360" s="50">
        <f t="shared" si="64"/>
        <v>2.07864</v>
      </c>
      <c r="H360" s="50">
        <f t="shared" si="65"/>
        <v>14.55048</v>
      </c>
      <c r="I360" s="50">
        <f t="shared" si="66"/>
        <v>4.2</v>
      </c>
      <c r="J360" s="50">
        <v>7</v>
      </c>
      <c r="K360" s="93"/>
    </row>
    <row r="361" spans="1:11" ht="15.75" x14ac:dyDescent="0.25">
      <c r="A361" s="92"/>
      <c r="B361" s="55"/>
      <c r="C361" s="92" t="s">
        <v>780</v>
      </c>
      <c r="D361" s="50">
        <v>0.16600000000000001</v>
      </c>
      <c r="E361" s="134">
        <f t="shared" si="67"/>
        <v>2.2951118562512824E-2</v>
      </c>
      <c r="F361" s="50">
        <v>60</v>
      </c>
      <c r="G361" s="50">
        <f t="shared" si="64"/>
        <v>9.9600000000000008E-2</v>
      </c>
      <c r="H361" s="50">
        <f t="shared" si="65"/>
        <v>0.69720000000000004</v>
      </c>
      <c r="I361" s="50">
        <f t="shared" si="66"/>
        <v>4.2</v>
      </c>
      <c r="J361" s="50">
        <v>7</v>
      </c>
      <c r="K361" s="93"/>
    </row>
    <row r="362" spans="1:11" ht="15.75" x14ac:dyDescent="0.25">
      <c r="A362" s="92"/>
      <c r="B362" s="55"/>
      <c r="C362" s="92" t="s">
        <v>781</v>
      </c>
      <c r="D362" s="50">
        <v>0.88229999999999997</v>
      </c>
      <c r="E362" s="134">
        <f t="shared" si="67"/>
        <v>0.12198657775725941</v>
      </c>
      <c r="F362" s="50">
        <v>60</v>
      </c>
      <c r="G362" s="50">
        <f t="shared" si="64"/>
        <v>0.52937999999999996</v>
      </c>
      <c r="H362" s="50">
        <f t="shared" si="65"/>
        <v>3.70566</v>
      </c>
      <c r="I362" s="50">
        <f t="shared" si="66"/>
        <v>4.2</v>
      </c>
      <c r="J362" s="50">
        <v>7</v>
      </c>
      <c r="K362" s="93"/>
    </row>
    <row r="363" spans="1:11" ht="15.75" x14ac:dyDescent="0.25">
      <c r="A363" s="92"/>
      <c r="B363" s="55"/>
      <c r="C363" s="92" t="s">
        <v>782</v>
      </c>
      <c r="D363" s="50">
        <v>0.42909999999999998</v>
      </c>
      <c r="E363" s="134">
        <f t="shared" si="67"/>
        <v>5.9327258886591877E-2</v>
      </c>
      <c r="F363" s="50">
        <v>60</v>
      </c>
      <c r="G363" s="50">
        <f t="shared" si="64"/>
        <v>0.25745999999999997</v>
      </c>
      <c r="H363" s="50">
        <f t="shared" si="65"/>
        <v>1.8022199999999997</v>
      </c>
      <c r="I363" s="50">
        <f t="shared" si="66"/>
        <v>4.1999999999999993</v>
      </c>
      <c r="J363" s="50">
        <v>7</v>
      </c>
      <c r="K363" s="93"/>
    </row>
    <row r="364" spans="1:11" ht="15.75" x14ac:dyDescent="0.25">
      <c r="A364" s="92"/>
      <c r="B364" s="55"/>
      <c r="C364" s="92" t="s">
        <v>783</v>
      </c>
      <c r="D364" s="50">
        <v>1.2174</v>
      </c>
      <c r="E364" s="134">
        <f t="shared" si="67"/>
        <v>0.16831742010845246</v>
      </c>
      <c r="F364" s="50">
        <v>60</v>
      </c>
      <c r="G364" s="50">
        <f t="shared" si="64"/>
        <v>0.73043999999999998</v>
      </c>
      <c r="H364" s="50">
        <f t="shared" si="65"/>
        <v>5.1130800000000001</v>
      </c>
      <c r="I364" s="50">
        <f t="shared" si="66"/>
        <v>4.2</v>
      </c>
      <c r="J364" s="50">
        <v>7</v>
      </c>
      <c r="K364" s="93"/>
    </row>
    <row r="365" spans="1:11" ht="15.75" x14ac:dyDescent="0.25">
      <c r="A365" s="92"/>
      <c r="B365" s="55"/>
      <c r="C365" s="92" t="s">
        <v>784</v>
      </c>
      <c r="D365" s="50">
        <v>4.7827000000000002</v>
      </c>
      <c r="E365" s="134">
        <f t="shared" si="67"/>
        <v>0.66125490812608489</v>
      </c>
      <c r="F365" s="50">
        <v>60</v>
      </c>
      <c r="G365" s="50">
        <f t="shared" si="64"/>
        <v>2.8696199999999998</v>
      </c>
      <c r="H365" s="50">
        <f t="shared" si="65"/>
        <v>20.087339999999998</v>
      </c>
      <c r="I365" s="50">
        <f t="shared" si="66"/>
        <v>4.1999999999999993</v>
      </c>
      <c r="J365" s="50">
        <v>7</v>
      </c>
      <c r="K365" s="93"/>
    </row>
    <row r="366" spans="1:11" ht="15.75" x14ac:dyDescent="0.25">
      <c r="A366" s="92"/>
      <c r="B366" s="55"/>
      <c r="C366" s="92" t="s">
        <v>785</v>
      </c>
      <c r="D366" s="50">
        <v>1.1569</v>
      </c>
      <c r="E366" s="134">
        <f t="shared" si="67"/>
        <v>0.15995270521066918</v>
      </c>
      <c r="F366" s="50">
        <v>60</v>
      </c>
      <c r="G366" s="50">
        <f t="shared" si="64"/>
        <v>0.69413999999999998</v>
      </c>
      <c r="H366" s="50">
        <f t="shared" si="65"/>
        <v>4.8589799999999999</v>
      </c>
      <c r="I366" s="50">
        <f t="shared" si="66"/>
        <v>4.1999999999999993</v>
      </c>
      <c r="J366" s="50">
        <v>7</v>
      </c>
      <c r="K366" s="93"/>
    </row>
    <row r="367" spans="1:11" ht="15.75" x14ac:dyDescent="0.25">
      <c r="A367" s="92"/>
      <c r="B367" s="55"/>
      <c r="C367" s="92" t="s">
        <v>842</v>
      </c>
      <c r="D367" s="50">
        <v>2.8746999999999998</v>
      </c>
      <c r="E367" s="134">
        <f t="shared" si="67"/>
        <v>0.39745530440756388</v>
      </c>
      <c r="F367" s="50">
        <v>60</v>
      </c>
      <c r="G367" s="50">
        <f t="shared" si="64"/>
        <v>1.72482</v>
      </c>
      <c r="H367" s="50">
        <f t="shared" si="65"/>
        <v>12.073740000000001</v>
      </c>
      <c r="I367" s="50">
        <f t="shared" si="66"/>
        <v>4.2</v>
      </c>
      <c r="J367" s="50">
        <v>7</v>
      </c>
      <c r="K367" s="93"/>
    </row>
    <row r="368" spans="1:11" ht="15.75" x14ac:dyDescent="0.25">
      <c r="A368" s="92"/>
      <c r="B368" s="55"/>
      <c r="C368" s="92" t="s">
        <v>843</v>
      </c>
      <c r="D368" s="50">
        <v>5.5831</v>
      </c>
      <c r="E368" s="134">
        <f t="shared" si="67"/>
        <v>0.77191801232750201</v>
      </c>
      <c r="F368" s="50">
        <v>60</v>
      </c>
      <c r="G368" s="50">
        <f t="shared" si="64"/>
        <v>3.3498600000000001</v>
      </c>
      <c r="H368" s="50">
        <f t="shared" si="65"/>
        <v>23.449020000000001</v>
      </c>
      <c r="I368" s="50">
        <f t="shared" si="66"/>
        <v>4.2</v>
      </c>
      <c r="J368" s="50">
        <v>7</v>
      </c>
      <c r="K368" s="93"/>
    </row>
    <row r="369" spans="1:11" ht="15.75" x14ac:dyDescent="0.25">
      <c r="A369" s="52">
        <v>1.3</v>
      </c>
      <c r="B369" s="51" t="s">
        <v>118</v>
      </c>
      <c r="C369" s="52"/>
      <c r="D369" s="53">
        <f>+SUM(D370:D371)</f>
        <v>1.2</v>
      </c>
      <c r="E369" s="135">
        <f t="shared" si="67"/>
        <v>0.16591170045189993</v>
      </c>
      <c r="F369" s="53">
        <v>40</v>
      </c>
      <c r="G369" s="53">
        <f t="shared" si="64"/>
        <v>0.48</v>
      </c>
      <c r="H369" s="53">
        <f t="shared" si="65"/>
        <v>2.4</v>
      </c>
      <c r="I369" s="53">
        <f t="shared" si="66"/>
        <v>2</v>
      </c>
      <c r="J369" s="53">
        <v>5</v>
      </c>
      <c r="K369" s="65"/>
    </row>
    <row r="370" spans="1:11" ht="15.75" x14ac:dyDescent="0.25">
      <c r="A370" s="52"/>
      <c r="B370" s="55" t="s">
        <v>93</v>
      </c>
      <c r="C370" s="92" t="s">
        <v>790</v>
      </c>
      <c r="D370" s="50">
        <v>0.61</v>
      </c>
      <c r="E370" s="134">
        <f t="shared" si="67"/>
        <v>8.4338447729715799E-2</v>
      </c>
      <c r="F370" s="50">
        <v>40</v>
      </c>
      <c r="G370" s="50">
        <f t="shared" si="64"/>
        <v>0.24399999999999999</v>
      </c>
      <c r="H370" s="50">
        <f t="shared" si="65"/>
        <v>0.73199999999999998</v>
      </c>
      <c r="I370" s="50">
        <f t="shared" si="66"/>
        <v>1.2</v>
      </c>
      <c r="J370" s="50">
        <v>3</v>
      </c>
      <c r="K370" s="93"/>
    </row>
    <row r="371" spans="1:11" ht="15.75" x14ac:dyDescent="0.25">
      <c r="A371" s="92"/>
      <c r="B371" s="55"/>
      <c r="C371" s="92" t="s">
        <v>791</v>
      </c>
      <c r="D371" s="50">
        <v>0.59</v>
      </c>
      <c r="E371" s="134">
        <f t="shared" si="67"/>
        <v>8.1573252722184131E-2</v>
      </c>
      <c r="F371" s="50">
        <v>40</v>
      </c>
      <c r="G371" s="50">
        <f t="shared" si="64"/>
        <v>0.23599999999999999</v>
      </c>
      <c r="H371" s="50">
        <f t="shared" si="65"/>
        <v>0.70799999999999996</v>
      </c>
      <c r="I371" s="50">
        <f t="shared" si="66"/>
        <v>1.2</v>
      </c>
      <c r="J371" s="50">
        <v>3</v>
      </c>
      <c r="K371" s="93"/>
    </row>
    <row r="372" spans="1:11" ht="15.75" x14ac:dyDescent="0.25">
      <c r="A372" s="52">
        <v>1.4</v>
      </c>
      <c r="B372" s="51" t="s">
        <v>47</v>
      </c>
      <c r="C372" s="52" t="s">
        <v>795</v>
      </c>
      <c r="D372" s="53">
        <v>0.13</v>
      </c>
      <c r="E372" s="135">
        <f t="shared" si="67"/>
        <v>1.7973767548955823E-2</v>
      </c>
      <c r="F372" s="53">
        <v>40</v>
      </c>
      <c r="G372" s="53">
        <f t="shared" si="64"/>
        <v>5.2000000000000005E-2</v>
      </c>
      <c r="H372" s="53">
        <f t="shared" si="65"/>
        <v>0.15600000000000003</v>
      </c>
      <c r="I372" s="53">
        <f t="shared" si="66"/>
        <v>1.2000000000000002</v>
      </c>
      <c r="J372" s="53">
        <v>3</v>
      </c>
      <c r="K372" s="65"/>
    </row>
    <row r="373" spans="1:11" ht="15.75" x14ac:dyDescent="0.25">
      <c r="A373" s="52">
        <v>1.5</v>
      </c>
      <c r="B373" s="51" t="s">
        <v>91</v>
      </c>
      <c r="C373" s="52" t="s">
        <v>814</v>
      </c>
      <c r="D373" s="53">
        <v>7.0000000000000007E-2</v>
      </c>
      <c r="E373" s="135">
        <f t="shared" si="67"/>
        <v>9.6781825263608304E-3</v>
      </c>
      <c r="F373" s="53">
        <v>40</v>
      </c>
      <c r="G373" s="53">
        <f t="shared" si="64"/>
        <v>2.8000000000000004E-2</v>
      </c>
      <c r="H373" s="53">
        <f t="shared" si="65"/>
        <v>8.4000000000000019E-2</v>
      </c>
      <c r="I373" s="53">
        <f t="shared" si="66"/>
        <v>1.2000000000000002</v>
      </c>
      <c r="J373" s="53">
        <v>3</v>
      </c>
      <c r="K373" s="65"/>
    </row>
    <row r="374" spans="1:11" ht="15.75" x14ac:dyDescent="0.25">
      <c r="A374" s="237">
        <v>2</v>
      </c>
      <c r="B374" s="238" t="s">
        <v>596</v>
      </c>
      <c r="C374" s="250"/>
      <c r="D374" s="251">
        <f>+SUM(D375:D377)</f>
        <v>7.01</v>
      </c>
      <c r="E374" s="252">
        <f>+D374/$D$3*100</f>
        <v>0.96920085013984869</v>
      </c>
      <c r="F374" s="239">
        <v>5</v>
      </c>
      <c r="G374" s="239">
        <f t="shared" si="64"/>
        <v>0.35049999999999998</v>
      </c>
      <c r="H374" s="239">
        <f t="shared" si="65"/>
        <v>0.35049999999999998</v>
      </c>
      <c r="I374" s="239">
        <f t="shared" si="66"/>
        <v>4.9999999999999996E-2</v>
      </c>
      <c r="J374" s="239">
        <v>1</v>
      </c>
      <c r="K374" s="250"/>
    </row>
    <row r="375" spans="1:11" ht="15.75" x14ac:dyDescent="0.25">
      <c r="A375" s="218"/>
      <c r="B375" s="144"/>
      <c r="C375" s="92" t="s">
        <v>792</v>
      </c>
      <c r="D375" s="50">
        <v>4.51</v>
      </c>
      <c r="E375" s="50">
        <f>+D375/$D$3*100</f>
        <v>0.62355147419839052</v>
      </c>
      <c r="F375" s="50">
        <v>5</v>
      </c>
      <c r="G375" s="50">
        <f>+D375*F375/100</f>
        <v>0.22549999999999998</v>
      </c>
      <c r="H375" s="50">
        <f>+G375*J375</f>
        <v>0.22549999999999998</v>
      </c>
      <c r="I375" s="50">
        <f>+H375/D375</f>
        <v>4.9999999999999996E-2</v>
      </c>
      <c r="J375" s="50">
        <v>1</v>
      </c>
      <c r="K375" s="93"/>
    </row>
    <row r="376" spans="1:11" ht="15.75" x14ac:dyDescent="0.25">
      <c r="A376" s="218"/>
      <c r="B376" s="201"/>
      <c r="C376" s="92" t="s">
        <v>810</v>
      </c>
      <c r="D376" s="50">
        <v>0.65</v>
      </c>
      <c r="E376" s="50">
        <f>+D376/$D$3*100</f>
        <v>8.986883774477912E-2</v>
      </c>
      <c r="F376" s="50">
        <v>5</v>
      </c>
      <c r="G376" s="50">
        <f t="shared" ref="G376:G380" si="68">+D376*F376/100</f>
        <v>3.2500000000000001E-2</v>
      </c>
      <c r="H376" s="50">
        <f t="shared" ref="H376:H380" si="69">+G376*J376</f>
        <v>3.2500000000000001E-2</v>
      </c>
      <c r="I376" s="50">
        <f t="shared" ref="I376:I380" si="70">+H376/D376</f>
        <v>0.05</v>
      </c>
      <c r="J376" s="50">
        <v>1</v>
      </c>
      <c r="K376" s="93"/>
    </row>
    <row r="377" spans="1:11" ht="15.75" x14ac:dyDescent="0.25">
      <c r="A377" s="218"/>
      <c r="B377" s="201"/>
      <c r="C377" s="92" t="s">
        <v>816</v>
      </c>
      <c r="D377" s="50">
        <v>1.85</v>
      </c>
      <c r="E377" s="200">
        <f>+D377/$D$3*100</f>
        <v>0.25578053819667906</v>
      </c>
      <c r="F377" s="50">
        <v>5</v>
      </c>
      <c r="G377" s="50">
        <f t="shared" si="68"/>
        <v>9.2499999999999999E-2</v>
      </c>
      <c r="H377" s="50">
        <f t="shared" si="69"/>
        <v>9.2499999999999999E-2</v>
      </c>
      <c r="I377" s="50">
        <f t="shared" si="70"/>
        <v>4.9999999999999996E-2</v>
      </c>
      <c r="J377" s="50">
        <v>1</v>
      </c>
      <c r="K377" s="93"/>
    </row>
    <row r="378" spans="1:11" ht="15.75" x14ac:dyDescent="0.25">
      <c r="A378" s="253">
        <v>3</v>
      </c>
      <c r="B378" s="254" t="s">
        <v>618</v>
      </c>
      <c r="C378" s="253"/>
      <c r="D378" s="252">
        <f>+SUM(D379:D380)</f>
        <v>1.0899999999999999</v>
      </c>
      <c r="E378" s="239">
        <f t="shared" si="67"/>
        <v>0.15070312791047574</v>
      </c>
      <c r="F378" s="252">
        <v>40</v>
      </c>
      <c r="G378" s="239">
        <f t="shared" si="68"/>
        <v>0.43599999999999994</v>
      </c>
      <c r="H378" s="239">
        <f t="shared" si="69"/>
        <v>2.1799999999999997</v>
      </c>
      <c r="I378" s="239">
        <f t="shared" si="70"/>
        <v>2</v>
      </c>
      <c r="J378" s="252">
        <v>5</v>
      </c>
      <c r="K378" s="241"/>
    </row>
    <row r="379" spans="1:11" ht="15.75" x14ac:dyDescent="0.25">
      <c r="A379" s="92"/>
      <c r="B379" s="55"/>
      <c r="C379" s="92" t="s">
        <v>793</v>
      </c>
      <c r="D379" s="50">
        <v>0.59</v>
      </c>
      <c r="E379" s="50">
        <f t="shared" si="67"/>
        <v>8.1573252722184131E-2</v>
      </c>
      <c r="F379" s="50">
        <v>40</v>
      </c>
      <c r="G379" s="50">
        <f t="shared" si="68"/>
        <v>0.23599999999999999</v>
      </c>
      <c r="H379" s="50">
        <f t="shared" si="69"/>
        <v>1.18</v>
      </c>
      <c r="I379" s="50">
        <f t="shared" si="70"/>
        <v>2</v>
      </c>
      <c r="J379" s="50">
        <v>5</v>
      </c>
      <c r="K379" s="93"/>
    </row>
    <row r="380" spans="1:11" ht="15.75" x14ac:dyDescent="0.25">
      <c r="A380" s="92"/>
      <c r="B380" s="55"/>
      <c r="C380" s="92" t="s">
        <v>794</v>
      </c>
      <c r="D380" s="50">
        <v>0.5</v>
      </c>
      <c r="E380" s="50">
        <f t="shared" si="67"/>
        <v>6.9129875188291626E-2</v>
      </c>
      <c r="F380" s="50">
        <v>40</v>
      </c>
      <c r="G380" s="50">
        <f t="shared" si="68"/>
        <v>0.2</v>
      </c>
      <c r="H380" s="50">
        <f t="shared" si="69"/>
        <v>1</v>
      </c>
      <c r="I380" s="50">
        <f t="shared" si="70"/>
        <v>2</v>
      </c>
      <c r="J380" s="50">
        <v>5</v>
      </c>
      <c r="K380" s="93"/>
    </row>
    <row r="381" spans="1:11" ht="15.75" x14ac:dyDescent="0.25">
      <c r="A381" s="233" t="s">
        <v>607</v>
      </c>
      <c r="B381" s="234" t="s">
        <v>595</v>
      </c>
      <c r="C381" s="255"/>
      <c r="D381" s="242">
        <f>+D382+D385+D389+D402</f>
        <v>14.1112</v>
      </c>
      <c r="E381" s="242">
        <f t="shared" si="67"/>
        <v>1.9510109895140417</v>
      </c>
      <c r="F381" s="256"/>
      <c r="G381" s="242">
        <f>+G382+G385+G389+G401+G402</f>
        <v>6.4679200000000003</v>
      </c>
      <c r="H381" s="256"/>
      <c r="I381" s="256"/>
      <c r="J381" s="256"/>
      <c r="K381" s="257"/>
    </row>
    <row r="382" spans="1:11" ht="15.75" x14ac:dyDescent="0.25">
      <c r="A382" s="237">
        <v>1</v>
      </c>
      <c r="B382" s="238" t="s">
        <v>92</v>
      </c>
      <c r="C382" s="237"/>
      <c r="D382" s="239">
        <f>+D383+D384</f>
        <v>1.1200000000000001</v>
      </c>
      <c r="E382" s="239">
        <f t="shared" si="67"/>
        <v>0.15485092042177329</v>
      </c>
      <c r="F382" s="239">
        <v>40</v>
      </c>
      <c r="G382" s="239">
        <f>+G383+G384</f>
        <v>0.44799999999999995</v>
      </c>
      <c r="H382" s="239">
        <f>+H383+H384</f>
        <v>2.2400000000000002</v>
      </c>
      <c r="I382" s="239">
        <f t="shared" ref="I382:I392" si="71">+H382/D382</f>
        <v>2</v>
      </c>
      <c r="J382" s="239">
        <v>5</v>
      </c>
      <c r="K382" s="258"/>
    </row>
    <row r="383" spans="1:11" ht="15.75" x14ac:dyDescent="0.25">
      <c r="A383" s="92"/>
      <c r="B383" s="55"/>
      <c r="C383" s="92" t="s">
        <v>796</v>
      </c>
      <c r="D383" s="50">
        <v>0.36</v>
      </c>
      <c r="E383" s="50">
        <f t="shared" si="67"/>
        <v>4.9773510135569979E-2</v>
      </c>
      <c r="F383" s="50">
        <v>40</v>
      </c>
      <c r="G383" s="50">
        <f t="shared" ref="G383:G392" si="72">+D383*F383/100</f>
        <v>0.14399999999999999</v>
      </c>
      <c r="H383" s="50">
        <f t="shared" ref="H383:H404" si="73">+G383*J383</f>
        <v>0.72</v>
      </c>
      <c r="I383" s="50">
        <f t="shared" si="71"/>
        <v>2</v>
      </c>
      <c r="J383" s="50">
        <v>5</v>
      </c>
      <c r="K383" s="93"/>
    </row>
    <row r="384" spans="1:11" ht="15.75" x14ac:dyDescent="0.25">
      <c r="A384" s="92"/>
      <c r="B384" s="55"/>
      <c r="C384" s="92" t="s">
        <v>1202</v>
      </c>
      <c r="D384" s="50">
        <v>0.76</v>
      </c>
      <c r="E384" s="50">
        <f t="shared" si="67"/>
        <v>0.10507741028620329</v>
      </c>
      <c r="F384" s="50">
        <v>40</v>
      </c>
      <c r="G384" s="50">
        <f t="shared" si="72"/>
        <v>0.30399999999999999</v>
      </c>
      <c r="H384" s="50">
        <f t="shared" si="73"/>
        <v>1.52</v>
      </c>
      <c r="I384" s="50">
        <f t="shared" si="71"/>
        <v>2</v>
      </c>
      <c r="J384" s="50">
        <v>5</v>
      </c>
      <c r="K384" s="93"/>
    </row>
    <row r="385" spans="1:11" ht="15.75" x14ac:dyDescent="0.25">
      <c r="A385" s="237">
        <v>2</v>
      </c>
      <c r="B385" s="238" t="s">
        <v>98</v>
      </c>
      <c r="C385" s="237"/>
      <c r="D385" s="239">
        <f>+SUM(D386:D388)</f>
        <v>2.8200000000000003</v>
      </c>
      <c r="E385" s="239">
        <f t="shared" si="67"/>
        <v>0.38989249606196485</v>
      </c>
      <c r="F385" s="239">
        <v>40</v>
      </c>
      <c r="G385" s="239">
        <f t="shared" si="72"/>
        <v>1.1280000000000001</v>
      </c>
      <c r="H385" s="239">
        <f t="shared" si="73"/>
        <v>5.6400000000000006</v>
      </c>
      <c r="I385" s="239">
        <f t="shared" si="71"/>
        <v>2</v>
      </c>
      <c r="J385" s="239">
        <v>5</v>
      </c>
      <c r="K385" s="241"/>
    </row>
    <row r="386" spans="1:11" ht="15.75" x14ac:dyDescent="0.25">
      <c r="A386" s="92"/>
      <c r="B386" s="55"/>
      <c r="C386" s="92" t="s">
        <v>797</v>
      </c>
      <c r="D386" s="50">
        <v>0.19</v>
      </c>
      <c r="E386" s="50">
        <f t="shared" si="67"/>
        <v>2.6269352571550823E-2</v>
      </c>
      <c r="F386" s="50">
        <v>40</v>
      </c>
      <c r="G386" s="50">
        <f t="shared" si="72"/>
        <v>7.5999999999999998E-2</v>
      </c>
      <c r="H386" s="50">
        <f t="shared" si="73"/>
        <v>0.38</v>
      </c>
      <c r="I386" s="50">
        <f t="shared" si="71"/>
        <v>2</v>
      </c>
      <c r="J386" s="50">
        <v>5</v>
      </c>
      <c r="K386" s="93"/>
    </row>
    <row r="387" spans="1:11" ht="15.75" x14ac:dyDescent="0.25">
      <c r="A387" s="92"/>
      <c r="B387" s="55"/>
      <c r="C387" s="92" t="s">
        <v>798</v>
      </c>
      <c r="D387" s="50">
        <v>0.76</v>
      </c>
      <c r="E387" s="50">
        <f t="shared" si="67"/>
        <v>0.10507741028620329</v>
      </c>
      <c r="F387" s="50">
        <v>10</v>
      </c>
      <c r="G387" s="50">
        <f t="shared" si="72"/>
        <v>7.5999999999999998E-2</v>
      </c>
      <c r="H387" s="50">
        <f t="shared" si="73"/>
        <v>0.38</v>
      </c>
      <c r="I387" s="50">
        <f t="shared" si="71"/>
        <v>0.5</v>
      </c>
      <c r="J387" s="50">
        <v>5</v>
      </c>
      <c r="K387" s="93"/>
    </row>
    <row r="388" spans="1:11" ht="15.75" x14ac:dyDescent="0.25">
      <c r="A388" s="92"/>
      <c r="B388" s="55"/>
      <c r="C388" s="92" t="s">
        <v>799</v>
      </c>
      <c r="D388" s="50">
        <v>1.87</v>
      </c>
      <c r="E388" s="50">
        <f t="shared" si="67"/>
        <v>0.2585457332042107</v>
      </c>
      <c r="F388" s="50">
        <v>40</v>
      </c>
      <c r="G388" s="50">
        <f t="shared" si="72"/>
        <v>0.74800000000000011</v>
      </c>
      <c r="H388" s="50">
        <f t="shared" si="73"/>
        <v>3.7400000000000007</v>
      </c>
      <c r="I388" s="50">
        <f t="shared" si="71"/>
        <v>2.0000000000000004</v>
      </c>
      <c r="J388" s="50">
        <v>5</v>
      </c>
      <c r="K388" s="93"/>
    </row>
    <row r="389" spans="1:11" ht="15.75" x14ac:dyDescent="0.25">
      <c r="A389" s="237">
        <v>3</v>
      </c>
      <c r="B389" s="238" t="s">
        <v>99</v>
      </c>
      <c r="C389" s="237"/>
      <c r="D389" s="239">
        <f>+SUM(D390:D400)</f>
        <v>9.9711999999999996</v>
      </c>
      <c r="E389" s="239">
        <f t="shared" si="67"/>
        <v>1.3786156229549869</v>
      </c>
      <c r="F389" s="239">
        <f>+G389/D389*100</f>
        <v>47.495988446726578</v>
      </c>
      <c r="G389" s="239">
        <f>SUM(G390:G400)</f>
        <v>4.7359200000000001</v>
      </c>
      <c r="H389" s="239"/>
      <c r="I389" s="239"/>
      <c r="J389" s="239" t="s">
        <v>860</v>
      </c>
      <c r="K389" s="241"/>
    </row>
    <row r="390" spans="1:11" ht="15.75" x14ac:dyDescent="0.25">
      <c r="A390" s="92"/>
      <c r="B390" s="55"/>
      <c r="C390" s="92" t="s">
        <v>800</v>
      </c>
      <c r="D390" s="50">
        <v>0.73219999999999996</v>
      </c>
      <c r="E390" s="50">
        <f t="shared" si="67"/>
        <v>0.10123378922573426</v>
      </c>
      <c r="F390" s="50">
        <v>40</v>
      </c>
      <c r="G390" s="50">
        <f t="shared" ref="G390" si="74">+D390*F390/100</f>
        <v>0.29287999999999997</v>
      </c>
      <c r="H390" s="50">
        <f t="shared" ref="H390" si="75">+G390*J390</f>
        <v>4.3931999999999993</v>
      </c>
      <c r="I390" s="50">
        <f t="shared" ref="I390" si="76">+H390/D390</f>
        <v>5.9999999999999991</v>
      </c>
      <c r="J390" s="50">
        <v>15</v>
      </c>
      <c r="K390" s="93"/>
    </row>
    <row r="391" spans="1:11" ht="15.75" x14ac:dyDescent="0.25">
      <c r="A391" s="92"/>
      <c r="B391" s="152"/>
      <c r="C391" s="92" t="s">
        <v>801</v>
      </c>
      <c r="D391" s="50">
        <v>0.4</v>
      </c>
      <c r="E391" s="50">
        <f t="shared" si="67"/>
        <v>5.5303900150633307E-2</v>
      </c>
      <c r="F391" s="50">
        <v>40</v>
      </c>
      <c r="G391" s="50">
        <f t="shared" si="72"/>
        <v>0.16</v>
      </c>
      <c r="H391" s="50">
        <f t="shared" si="73"/>
        <v>1.6</v>
      </c>
      <c r="I391" s="50">
        <f t="shared" si="71"/>
        <v>4</v>
      </c>
      <c r="J391" s="50">
        <v>10</v>
      </c>
      <c r="K391" s="93"/>
    </row>
    <row r="392" spans="1:11" ht="15.75" x14ac:dyDescent="0.25">
      <c r="A392" s="92"/>
      <c r="B392" s="152"/>
      <c r="C392" s="92" t="s">
        <v>802</v>
      </c>
      <c r="D392" s="50">
        <v>0.22020000000000001</v>
      </c>
      <c r="E392" s="50">
        <f t="shared" si="67"/>
        <v>3.0444797032923635E-2</v>
      </c>
      <c r="F392" s="50">
        <v>60</v>
      </c>
      <c r="G392" s="50">
        <f t="shared" si="72"/>
        <v>0.13211999999999999</v>
      </c>
      <c r="H392" s="50">
        <f t="shared" si="73"/>
        <v>1.1890799999999999</v>
      </c>
      <c r="I392" s="50">
        <f t="shared" si="71"/>
        <v>5.3999999999999995</v>
      </c>
      <c r="J392" s="50">
        <v>9</v>
      </c>
      <c r="K392" s="93"/>
    </row>
    <row r="393" spans="1:11" ht="15.75" x14ac:dyDescent="0.25">
      <c r="A393" s="92"/>
      <c r="B393" s="55"/>
      <c r="C393" s="92" t="s">
        <v>803</v>
      </c>
      <c r="D393" s="217">
        <v>0.14000000000000001</v>
      </c>
      <c r="E393" s="50">
        <f t="shared" si="67"/>
        <v>1.9356365052721661E-2</v>
      </c>
      <c r="F393" s="50">
        <v>60</v>
      </c>
      <c r="G393" s="50">
        <f t="shared" ref="G393:G399" si="77">+D394*F393/100</f>
        <v>0.6522</v>
      </c>
      <c r="H393" s="50">
        <f t="shared" si="73"/>
        <v>4.5654000000000003</v>
      </c>
      <c r="I393" s="50">
        <f t="shared" ref="I393:I399" si="78">+H393/D394</f>
        <v>4.2</v>
      </c>
      <c r="J393" s="50">
        <v>7</v>
      </c>
      <c r="K393" s="93"/>
    </row>
    <row r="394" spans="1:11" ht="15.75" x14ac:dyDescent="0.25">
      <c r="A394" s="92"/>
      <c r="B394" s="55"/>
      <c r="C394" s="92" t="s">
        <v>804</v>
      </c>
      <c r="D394" s="50">
        <v>1.087</v>
      </c>
      <c r="E394" s="50">
        <f t="shared" si="67"/>
        <v>0.15028834865934598</v>
      </c>
      <c r="F394" s="50">
        <v>40</v>
      </c>
      <c r="G394" s="50">
        <f t="shared" si="77"/>
        <v>0.35003999999999996</v>
      </c>
      <c r="H394" s="50">
        <f t="shared" si="73"/>
        <v>3.8504399999999994</v>
      </c>
      <c r="I394" s="50">
        <f t="shared" si="78"/>
        <v>4.3999999999999995</v>
      </c>
      <c r="J394" s="50">
        <v>11</v>
      </c>
      <c r="K394" s="93"/>
    </row>
    <row r="395" spans="1:11" ht="15.75" x14ac:dyDescent="0.25">
      <c r="A395" s="92"/>
      <c r="B395" s="55"/>
      <c r="C395" s="92" t="s">
        <v>805</v>
      </c>
      <c r="D395" s="50">
        <v>0.87509999999999999</v>
      </c>
      <c r="E395" s="50">
        <f t="shared" si="67"/>
        <v>0.12099110755454802</v>
      </c>
      <c r="F395" s="50">
        <v>40</v>
      </c>
      <c r="G395" s="50">
        <f t="shared" si="77"/>
        <v>0.29904000000000003</v>
      </c>
      <c r="H395" s="50">
        <f t="shared" si="73"/>
        <v>3.2894400000000004</v>
      </c>
      <c r="I395" s="50">
        <f t="shared" si="78"/>
        <v>4.4000000000000004</v>
      </c>
      <c r="J395" s="50">
        <v>11</v>
      </c>
      <c r="K395" s="93"/>
    </row>
    <row r="396" spans="1:11" ht="15.75" x14ac:dyDescent="0.25">
      <c r="A396" s="92"/>
      <c r="B396" s="55"/>
      <c r="C396" s="92" t="s">
        <v>806</v>
      </c>
      <c r="D396" s="50">
        <v>0.74760000000000004</v>
      </c>
      <c r="E396" s="50">
        <f t="shared" si="67"/>
        <v>0.10336298938153365</v>
      </c>
      <c r="F396" s="50">
        <v>40</v>
      </c>
      <c r="G396" s="50">
        <f t="shared" si="77"/>
        <v>0.24855999999999998</v>
      </c>
      <c r="H396" s="50">
        <f t="shared" si="73"/>
        <v>1.2427999999999999</v>
      </c>
      <c r="I396" s="50">
        <f t="shared" si="78"/>
        <v>2</v>
      </c>
      <c r="J396" s="50">
        <v>5</v>
      </c>
      <c r="K396" s="93"/>
    </row>
    <row r="397" spans="1:11" ht="15.75" x14ac:dyDescent="0.25">
      <c r="A397" s="92"/>
      <c r="B397" s="55"/>
      <c r="C397" s="92" t="s">
        <v>807</v>
      </c>
      <c r="D397" s="50">
        <v>0.62139999999999995</v>
      </c>
      <c r="E397" s="50">
        <f t="shared" si="67"/>
        <v>8.5914608884008842E-2</v>
      </c>
      <c r="F397" s="50">
        <v>40</v>
      </c>
      <c r="G397" s="50">
        <f t="shared" si="77"/>
        <v>0.52107999999999999</v>
      </c>
      <c r="H397" s="50">
        <f t="shared" si="73"/>
        <v>3.6475599999999999</v>
      </c>
      <c r="I397" s="50">
        <f t="shared" si="78"/>
        <v>2.8</v>
      </c>
      <c r="J397" s="50">
        <v>7</v>
      </c>
      <c r="K397" s="93"/>
    </row>
    <row r="398" spans="1:11" ht="15.75" x14ac:dyDescent="0.25">
      <c r="A398" s="92"/>
      <c r="B398" s="55"/>
      <c r="C398" s="199" t="s">
        <v>808</v>
      </c>
      <c r="D398" s="50">
        <v>1.3027</v>
      </c>
      <c r="E398" s="50">
        <f t="shared" si="67"/>
        <v>0.180110976815575</v>
      </c>
      <c r="F398" s="50">
        <v>40</v>
      </c>
      <c r="G398" s="50">
        <f t="shared" si="77"/>
        <v>0.99600000000000011</v>
      </c>
      <c r="H398" s="50">
        <f t="shared" si="73"/>
        <v>4.9800000000000004</v>
      </c>
      <c r="I398" s="50">
        <f t="shared" si="78"/>
        <v>2</v>
      </c>
      <c r="J398" s="50">
        <v>5</v>
      </c>
      <c r="K398" s="93"/>
    </row>
    <row r="399" spans="1:11" ht="15.75" x14ac:dyDescent="0.25">
      <c r="A399" s="92"/>
      <c r="B399" s="55"/>
      <c r="C399" s="92" t="s">
        <v>844</v>
      </c>
      <c r="D399" s="50">
        <v>2.4900000000000002</v>
      </c>
      <c r="E399" s="50">
        <f t="shared" si="67"/>
        <v>0.34426677843769238</v>
      </c>
      <c r="F399" s="200">
        <v>40</v>
      </c>
      <c r="G399" s="200">
        <f t="shared" si="77"/>
        <v>0.54200000000000004</v>
      </c>
      <c r="H399" s="200">
        <f t="shared" si="73"/>
        <v>2.71</v>
      </c>
      <c r="I399" s="200">
        <f t="shared" si="78"/>
        <v>2</v>
      </c>
      <c r="J399" s="200">
        <v>5</v>
      </c>
      <c r="K399" s="93"/>
    </row>
    <row r="400" spans="1:11" ht="15.75" x14ac:dyDescent="0.25">
      <c r="A400" s="92"/>
      <c r="B400" s="55"/>
      <c r="C400" s="92" t="s">
        <v>854</v>
      </c>
      <c r="D400" s="200">
        <v>1.355</v>
      </c>
      <c r="E400" s="50">
        <f t="shared" si="67"/>
        <v>0.18734196176027032</v>
      </c>
      <c r="F400" s="200">
        <v>40</v>
      </c>
      <c r="G400" s="50">
        <f t="shared" ref="G400" si="79">+D400*F400/100</f>
        <v>0.54200000000000004</v>
      </c>
      <c r="H400" s="200">
        <f t="shared" si="73"/>
        <v>2.71</v>
      </c>
      <c r="I400" s="50">
        <f t="shared" ref="I400:I404" si="80">+H400/D400</f>
        <v>2</v>
      </c>
      <c r="J400" s="200">
        <v>5</v>
      </c>
      <c r="K400" s="93"/>
    </row>
    <row r="401" spans="1:11" ht="15.75" x14ac:dyDescent="0.25">
      <c r="A401" s="237">
        <v>4</v>
      </c>
      <c r="B401" s="238" t="s">
        <v>104</v>
      </c>
      <c r="C401" s="237" t="s">
        <v>1203</v>
      </c>
      <c r="D401" s="239">
        <v>0.19</v>
      </c>
      <c r="E401" s="240">
        <f t="shared" si="67"/>
        <v>2.6269352571550823E-2</v>
      </c>
      <c r="F401" s="239">
        <v>40</v>
      </c>
      <c r="G401" s="239">
        <f>+D401*F401/100</f>
        <v>7.5999999999999998E-2</v>
      </c>
      <c r="H401" s="239">
        <f>+G401*J401</f>
        <v>7.5999999999999998E-2</v>
      </c>
      <c r="I401" s="239">
        <f t="shared" si="80"/>
        <v>0.39999999999999997</v>
      </c>
      <c r="J401" s="239">
        <v>1</v>
      </c>
      <c r="K401" s="222"/>
    </row>
    <row r="402" spans="1:11" ht="15.75" x14ac:dyDescent="0.25">
      <c r="A402" s="237">
        <v>5</v>
      </c>
      <c r="B402" s="238" t="s">
        <v>105</v>
      </c>
      <c r="C402" s="237"/>
      <c r="D402" s="239">
        <f>+SUM(D403:D404)</f>
        <v>0.2</v>
      </c>
      <c r="E402" s="239">
        <f t="shared" si="67"/>
        <v>2.7651950075316654E-2</v>
      </c>
      <c r="F402" s="239">
        <v>40</v>
      </c>
      <c r="G402" s="239">
        <f t="shared" ref="G402:G404" si="81">+D402*F402/100</f>
        <v>0.08</v>
      </c>
      <c r="H402" s="239">
        <f t="shared" si="73"/>
        <v>0.4</v>
      </c>
      <c r="I402" s="239">
        <f t="shared" si="80"/>
        <v>2</v>
      </c>
      <c r="J402" s="239">
        <v>5</v>
      </c>
      <c r="K402" s="241"/>
    </row>
    <row r="403" spans="1:11" ht="15.75" x14ac:dyDescent="0.25">
      <c r="A403" s="92"/>
      <c r="B403" s="55"/>
      <c r="C403" s="92" t="s">
        <v>812</v>
      </c>
      <c r="D403" s="50">
        <v>0.05</v>
      </c>
      <c r="E403" s="200">
        <f t="shared" si="67"/>
        <v>6.9129875188291634E-3</v>
      </c>
      <c r="F403" s="200">
        <v>40</v>
      </c>
      <c r="G403" s="200">
        <f t="shared" si="81"/>
        <v>0.02</v>
      </c>
      <c r="H403" s="200">
        <f t="shared" si="73"/>
        <v>0.02</v>
      </c>
      <c r="I403" s="200">
        <f t="shared" si="80"/>
        <v>0.39999999999999997</v>
      </c>
      <c r="J403" s="200">
        <v>1</v>
      </c>
      <c r="K403" s="93"/>
    </row>
    <row r="404" spans="1:11" ht="15.75" x14ac:dyDescent="0.25">
      <c r="A404" s="92"/>
      <c r="B404" s="55"/>
      <c r="C404" s="92" t="s">
        <v>809</v>
      </c>
      <c r="D404" s="50">
        <v>0.15</v>
      </c>
      <c r="E404" s="50">
        <f t="shared" si="67"/>
        <v>2.0738962556487491E-2</v>
      </c>
      <c r="F404" s="50">
        <v>40</v>
      </c>
      <c r="G404" s="50">
        <f t="shared" si="81"/>
        <v>0.06</v>
      </c>
      <c r="H404" s="50">
        <f t="shared" si="73"/>
        <v>0.06</v>
      </c>
      <c r="I404" s="50">
        <f t="shared" si="80"/>
        <v>0.4</v>
      </c>
      <c r="J404" s="50">
        <v>1</v>
      </c>
      <c r="K404" s="93"/>
    </row>
    <row r="405" spans="1:11" ht="15.75" x14ac:dyDescent="0.25">
      <c r="A405" s="233" t="s">
        <v>608</v>
      </c>
      <c r="B405" s="234" t="s">
        <v>624</v>
      </c>
      <c r="C405" s="246"/>
      <c r="D405" s="242">
        <v>0.47</v>
      </c>
      <c r="E405" s="259">
        <f t="shared" si="67"/>
        <v>6.4982082676994124E-2</v>
      </c>
      <c r="F405" s="242"/>
      <c r="G405" s="242"/>
      <c r="H405" s="242"/>
      <c r="I405" s="242"/>
      <c r="J405" s="242"/>
      <c r="K405" s="247"/>
    </row>
    <row r="406" spans="1:11" ht="15.75" x14ac:dyDescent="0.25">
      <c r="A406" s="237">
        <v>1</v>
      </c>
      <c r="B406" s="238" t="s">
        <v>120</v>
      </c>
      <c r="C406" s="237" t="s">
        <v>811</v>
      </c>
      <c r="D406" s="239">
        <v>0.47</v>
      </c>
      <c r="E406" s="239">
        <f t="shared" si="67"/>
        <v>6.4982082676994124E-2</v>
      </c>
      <c r="F406" s="239"/>
      <c r="G406" s="239"/>
      <c r="H406" s="239"/>
      <c r="I406" s="239"/>
      <c r="J406" s="239"/>
      <c r="K406" s="241"/>
    </row>
    <row r="407" spans="1:11" ht="15.75" x14ac:dyDescent="0.25">
      <c r="A407" s="246" t="s">
        <v>623</v>
      </c>
      <c r="B407" s="248" t="s">
        <v>605</v>
      </c>
      <c r="C407" s="255"/>
      <c r="D407" s="242">
        <f>+D330-D331-D381-D405</f>
        <v>26.902399999999997</v>
      </c>
      <c r="E407" s="242">
        <f t="shared" si="67"/>
        <v>3.7195191085309935</v>
      </c>
      <c r="F407" s="256"/>
      <c r="G407" s="256"/>
      <c r="H407" s="256"/>
      <c r="I407" s="256"/>
      <c r="J407" s="256"/>
      <c r="K407" s="257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TONG HOP</vt:lpstr>
      <vt:lpstr>CHỈ TIÊU</vt:lpstr>
      <vt:lpstr>TỔNG HỢP</vt:lpstr>
      <vt:lpstr>CHI TIẾT</vt:lpstr>
      <vt:lpstr>QHCT</vt:lpstr>
      <vt:lpstr>Sheet1</vt:lpstr>
      <vt:lpstr>Sheet2</vt:lpstr>
      <vt:lpstr>SS Sau ĐC</vt:lpstr>
      <vt:lpstr>QHPK phê duyệt</vt:lpstr>
      <vt:lpstr>Tong hop QHPK đc phê duyệt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Anh Luu</dc:creator>
  <cp:lastModifiedBy>Windows User</cp:lastModifiedBy>
  <cp:lastPrinted>2022-06-02T09:50:36Z</cp:lastPrinted>
  <dcterms:created xsi:type="dcterms:W3CDTF">2019-10-16T07:23:02Z</dcterms:created>
  <dcterms:modified xsi:type="dcterms:W3CDTF">2026-01-28T16:47:59Z</dcterms:modified>
</cp:coreProperties>
</file>